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521" windowWidth="5970" windowHeight="6195" tabRatio="458" activeTab="0"/>
  </bookViews>
  <sheets>
    <sheet name="Tabela" sheetId="1" r:id="rId1"/>
    <sheet name="Jogo" sheetId="2" state="hidden" r:id="rId2"/>
  </sheets>
  <definedNames>
    <definedName name="África_Sul_against">#REF!,#REF!,#REF!</definedName>
    <definedName name="África_Sul_played">#REF!,#REF!,#REF!</definedName>
    <definedName name="Alemanha_against">#REF!,#REF!,#REF!</definedName>
    <definedName name="Alemanha_played">#REF!,#REF!,#REF!</definedName>
    <definedName name="Arábia_Saudita_against">#REF!,#REF!,#REF!</definedName>
    <definedName name="Arábia_Saudita_played">#REF!,#REF!,#REF!</definedName>
    <definedName name="_xlnm.Print_Area" localSheetId="0">'Tabela'!$A$1:$V$97</definedName>
    <definedName name="Argentina_against">#REF!,#REF!,#REF!</definedName>
    <definedName name="Argentina_played">#REF!,#REF!,#REF!</definedName>
    <definedName name="Bélgica_against">#REF!,#REF!,#REF!</definedName>
    <definedName name="Bélgica_played">#REF!,#REF!,#REF!</definedName>
    <definedName name="Brasil_against">#REF!,#REF!,#REF!</definedName>
    <definedName name="Brasil_played">#REF!,#REF!,#REF!</definedName>
    <definedName name="Camarões_against">#REF!,#REF!,#REF!</definedName>
    <definedName name="Camarões_played">#REF!,#REF!,#REF!</definedName>
    <definedName name="China_against">#REF!,#REF!,#REF!</definedName>
    <definedName name="China_played">#REF!,#REF!,#REF!</definedName>
    <definedName name="Coreia_against">#REF!,#REF!,#REF!</definedName>
    <definedName name="Coreia_played">#REF!,#REF!,#REF!</definedName>
    <definedName name="Costa_Rica_against">#REF!,#REF!,#REF!</definedName>
    <definedName name="Costa_Rica_played">#REF!,#REF!,#REF!</definedName>
    <definedName name="Croácia_against">#REF!,#REF!,#REF!</definedName>
    <definedName name="Croácia_played">#REF!,#REF!,#REF!</definedName>
    <definedName name="Dinamarca_against">#REF!,#REF!,#REF!</definedName>
    <definedName name="Dinamarca_played">#REF!,#REF!,#REF!</definedName>
    <definedName name="Equador_against">#REF!,#REF!,#REF!</definedName>
    <definedName name="Equador_played">#REF!,#REF!,#REF!</definedName>
    <definedName name="Eslovénia_against">#REF!,#REF!,#REF!</definedName>
    <definedName name="Eslovénia_played">#REF!,#REF!,#REF!</definedName>
    <definedName name="Espanha_against">#REF!,#REF!,#REF!</definedName>
    <definedName name="Espanha_played">#REF!,#REF!,#REF!</definedName>
    <definedName name="EUA_against">#REF!,#REF!,#REF!</definedName>
    <definedName name="EUA_played">#REF!,#REF!,#REF!</definedName>
    <definedName name="França_against">#REF!,#REF!,#REF!</definedName>
    <definedName name="França_played">#REF!,#REF!,#REF!</definedName>
    <definedName name="Inglaterra_against">#REF!,#REF!,#REF!</definedName>
    <definedName name="Inglaterra_played">#REF!,#REF!,#REF!</definedName>
    <definedName name="Irlanda_against">#REF!,#REF!,#REF!</definedName>
    <definedName name="Irlanda_played">#REF!,#REF!,#REF!</definedName>
    <definedName name="Itália_against">#REF!,#REF!,#REF!</definedName>
    <definedName name="Itália_played">#REF!,#REF!,#REF!</definedName>
    <definedName name="Japão_against">#REF!,#REF!,#REF!</definedName>
    <definedName name="Japão_played">#REF!,#REF!,#REF!</definedName>
    <definedName name="México_against">#REF!,#REF!,#REF!</definedName>
    <definedName name="México_played">#REF!,#REF!,#REF!</definedName>
    <definedName name="Nigéria_against">#REF!,#REF!,#REF!</definedName>
    <definedName name="Nigéria_played">#REF!,#REF!,#REF!</definedName>
    <definedName name="Paraguai_against">#REF!,#REF!,#REF!</definedName>
    <definedName name="Paraguai_played">#REF!,#REF!,#REF!</definedName>
    <definedName name="Polónia_against">#REF!,#REF!,#REF!</definedName>
    <definedName name="Polónia_played">#REF!,#REF!,#REF!</definedName>
    <definedName name="Portugal_against">#REF!,#REF!,#REF!</definedName>
    <definedName name="Portugal_played">#REF!,#REF!,#REF!</definedName>
    <definedName name="Rússia_against">#REF!,#REF!,#REF!</definedName>
    <definedName name="Rússia_played">#REF!,#REF!,#REF!</definedName>
    <definedName name="Senegal_against">#REF!,#REF!,#REF!</definedName>
    <definedName name="Senegal_played">#REF!,#REF!,#REF!</definedName>
    <definedName name="Suécia_against">#REF!,#REF!,#REF!</definedName>
    <definedName name="Suécia_played">#REF!,#REF!,#REF!</definedName>
    <definedName name="Tunísia_against">#REF!,#REF!,#REF!</definedName>
    <definedName name="Tunísia_played">#REF!,#REF!,#REF!</definedName>
    <definedName name="Turquia_against">#REF!,#REF!,#REF!</definedName>
    <definedName name="Turquia_played">#REF!,#REF!,#REF!</definedName>
    <definedName name="Uruguai_against">#REF!,#REF!,#REF!</definedName>
    <definedName name="Uruguai_played">#REF!,#REF!,#REF!</definedName>
    <definedName name="UU">'Jogo'!#REF!,'Jogo'!#REF!,'Jogo'!#REF!</definedName>
  </definedNames>
  <calcPr fullCalcOnLoad="1"/>
</workbook>
</file>

<file path=xl/comments1.xml><?xml version="1.0" encoding="utf-8"?>
<comments xmlns="http://schemas.openxmlformats.org/spreadsheetml/2006/main">
  <authors>
    <author>Edivaldo</author>
  </authors>
  <commentList>
    <comment ref="A1" authorId="0">
      <text>
        <r>
          <rPr>
            <b/>
            <sz val="9"/>
            <color indexed="56"/>
            <rFont val="Verdana"/>
            <family val="2"/>
          </rPr>
          <t>Johann Klaus:</t>
        </r>
        <r>
          <rPr>
            <sz val="9"/>
            <color indexed="56"/>
            <rFont val="Verdana"/>
            <family val="2"/>
          </rPr>
          <t xml:space="preserve">
-------------------------------------------
</t>
        </r>
        <r>
          <rPr>
            <sz val="9"/>
            <color indexed="54"/>
            <rFont val="Verdana"/>
            <family val="2"/>
          </rPr>
          <t>Acompanhe a copa do mundo, inserindo apenas os resultados (placar) dos jogos e obtenha automaticamente a classificação de cada seleção.</t>
        </r>
        <r>
          <rPr>
            <sz val="9"/>
            <color indexed="56"/>
            <rFont val="Verdana"/>
            <family val="2"/>
          </rPr>
          <t xml:space="preserve">
-------------------------------------------
</t>
        </r>
        <r>
          <rPr>
            <sz val="9"/>
            <color indexed="12"/>
            <rFont val="Verdana"/>
            <family val="2"/>
          </rPr>
          <t>johannklauslima@gmail.com</t>
        </r>
      </text>
    </comment>
  </commentList>
</comments>
</file>

<file path=xl/sharedStrings.xml><?xml version="1.0" encoding="utf-8"?>
<sst xmlns="http://schemas.openxmlformats.org/spreadsheetml/2006/main" count="561" uniqueCount="111">
  <si>
    <t>Grupo A</t>
  </si>
  <si>
    <t>J</t>
  </si>
  <si>
    <t>V</t>
  </si>
  <si>
    <t>D</t>
  </si>
  <si>
    <t>E</t>
  </si>
  <si>
    <t>GP</t>
  </si>
  <si>
    <t>GC</t>
  </si>
  <si>
    <t>SG</t>
  </si>
  <si>
    <t>Grupo B</t>
  </si>
  <si>
    <t>Grupo C</t>
  </si>
  <si>
    <t>Grupo D</t>
  </si>
  <si>
    <t>Grupo E</t>
  </si>
  <si>
    <t>Grupo F</t>
  </si>
  <si>
    <t>Grupo G</t>
  </si>
  <si>
    <t>PT</t>
  </si>
  <si>
    <t>Seleção</t>
  </si>
  <si>
    <t>Pontos ganhos</t>
  </si>
  <si>
    <t>Saldo de gols</t>
  </si>
  <si>
    <t>Pontos Ganhos</t>
  </si>
  <si>
    <t>pt</t>
  </si>
  <si>
    <t>Oitavas de final</t>
  </si>
  <si>
    <t>Quartas de final</t>
  </si>
  <si>
    <t>A</t>
  </si>
  <si>
    <t>B</t>
  </si>
  <si>
    <t>C</t>
  </si>
  <si>
    <t>Semifinal</t>
  </si>
  <si>
    <t>Decisão do terceiro lugar</t>
  </si>
  <si>
    <t>3º</t>
  </si>
  <si>
    <t>1º</t>
  </si>
  <si>
    <t>Classificação do grupo A</t>
  </si>
  <si>
    <t>Classificação do grupo B</t>
  </si>
  <si>
    <t>Classificação do grupo C</t>
  </si>
  <si>
    <t>Classificação do grupo D</t>
  </si>
  <si>
    <t>Classificação do grupo E</t>
  </si>
  <si>
    <t>Classificação do grupo F</t>
  </si>
  <si>
    <t>Classificação do grupo G</t>
  </si>
  <si>
    <t>Classificação do grupo H</t>
  </si>
  <si>
    <t>x</t>
  </si>
  <si>
    <t>Primeira fase            GRUPO A</t>
  </si>
  <si>
    <t>Tempo normal</t>
  </si>
  <si>
    <t>&gt;&gt;</t>
  </si>
  <si>
    <t>Grupo H</t>
  </si>
  <si>
    <t>Brasil</t>
  </si>
  <si>
    <t>Reportar erros no e-mail abaixo</t>
  </si>
  <si>
    <t>Uso livre e gratuito</t>
  </si>
  <si>
    <t>Jogos nos horários do Brasil</t>
  </si>
  <si>
    <t>AC</t>
  </si>
  <si>
    <t>BD</t>
  </si>
  <si>
    <t>Primeira fase          GRUPO C</t>
  </si>
  <si>
    <t>Primeira fase          GRUPO B</t>
  </si>
  <si>
    <t>Primeira fase         GRUPO D</t>
  </si>
  <si>
    <t>Primeira fase       GRUPO E</t>
  </si>
  <si>
    <t>Primeira fase       GRUPO G</t>
  </si>
  <si>
    <t>Primeira fase       GRUPO H</t>
  </si>
  <si>
    <t>Primeira fase       GRUPO F</t>
  </si>
  <si>
    <t>johannklauslima@gmail.com</t>
  </si>
  <si>
    <t>CAMPEÃO:</t>
  </si>
  <si>
    <t>VICE-CAMPEÃO</t>
  </si>
  <si>
    <t>P</t>
  </si>
  <si>
    <r>
      <t>P</t>
    </r>
    <r>
      <rPr>
        <sz val="10"/>
        <rFont val="Arial"/>
        <family val="0"/>
      </rPr>
      <t xml:space="preserve"> = Prorrogação</t>
    </r>
  </si>
  <si>
    <t>&gt;&gt;  Envie para todos os seus amigos</t>
  </si>
  <si>
    <r>
      <rPr>
        <b/>
        <sz val="10"/>
        <color indexed="10"/>
        <rFont val="Arial"/>
        <family val="2"/>
      </rPr>
      <t>P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Penaltis</t>
    </r>
  </si>
  <si>
    <t>TABELA DA COPA DO MUNDO DE 2014</t>
  </si>
  <si>
    <t>Decisão da copa de 2014 - Brasil</t>
  </si>
  <si>
    <t>LOCAL</t>
  </si>
  <si>
    <t>São Paulo</t>
  </si>
  <si>
    <t>Natal</t>
  </si>
  <si>
    <t>Fortaleza</t>
  </si>
  <si>
    <t>Manaus</t>
  </si>
  <si>
    <t>Brasília</t>
  </si>
  <si>
    <t>Recife</t>
  </si>
  <si>
    <t>Salvador</t>
  </si>
  <si>
    <t>Cuiabá</t>
  </si>
  <si>
    <t>Rio de Janeiro</t>
  </si>
  <si>
    <t>Porto Alegre</t>
  </si>
  <si>
    <t>Curitiba</t>
  </si>
  <si>
    <t>São Palo</t>
  </si>
  <si>
    <t>Belo Horizonte</t>
  </si>
  <si>
    <t>01/07Q14</t>
  </si>
  <si>
    <r>
      <t xml:space="preserve">TABELA DA COPA </t>
    </r>
    <r>
      <rPr>
        <sz val="36"/>
        <rFont val="Purgatory"/>
        <family val="0"/>
      </rPr>
      <t xml:space="preserve">2014 </t>
    </r>
    <r>
      <rPr>
        <sz val="36"/>
        <rFont val="Iron Maiden"/>
        <family val="2"/>
      </rPr>
      <t xml:space="preserve">                      BRASIL</t>
    </r>
  </si>
  <si>
    <t>Espanha</t>
  </si>
  <si>
    <t>Colombia</t>
  </si>
  <si>
    <t>Uruguai</t>
  </si>
  <si>
    <t>Suiça</t>
  </si>
  <si>
    <t>Argentina</t>
  </si>
  <si>
    <t>Alemanha</t>
  </si>
  <si>
    <t>Belgica</t>
  </si>
  <si>
    <t>Camarões</t>
  </si>
  <si>
    <t>Chile</t>
  </si>
  <si>
    <t>Itália</t>
  </si>
  <si>
    <t>Equador</t>
  </si>
  <si>
    <t>Costa do Marfim</t>
  </si>
  <si>
    <t>Gana</t>
  </si>
  <si>
    <t>Argélia</t>
  </si>
  <si>
    <t>México</t>
  </si>
  <si>
    <t>Australia</t>
  </si>
  <si>
    <t>Japão</t>
  </si>
  <si>
    <t>Costa Rica</t>
  </si>
  <si>
    <t>Honduras</t>
  </si>
  <si>
    <t>Nigéria</t>
  </si>
  <si>
    <t>Irã</t>
  </si>
  <si>
    <t>Estados Unidos</t>
  </si>
  <si>
    <t>Coreia do Sul</t>
  </si>
  <si>
    <t>Croácia</t>
  </si>
  <si>
    <t>Holanda</t>
  </si>
  <si>
    <t>Grécia</t>
  </si>
  <si>
    <t>Inglaterra</t>
  </si>
  <si>
    <t>França</t>
  </si>
  <si>
    <t>Bósnia</t>
  </si>
  <si>
    <t>Portugal</t>
  </si>
  <si>
    <t>Russia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</si>
</sst>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\-mmm\-yy"/>
    <numFmt numFmtId="173" formatCode="00&quot;:&quot;00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[$-416]dddd\,\ d&quot; de &quot;mmmm&quot; de &quot;yyyy"/>
  </numFmts>
  <fonts count="11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9"/>
      <color indexed="56"/>
      <name val="Verdana"/>
      <family val="2"/>
    </font>
    <font>
      <b/>
      <sz val="9"/>
      <color indexed="56"/>
      <name val="Verdana"/>
      <family val="2"/>
    </font>
    <font>
      <sz val="9"/>
      <color indexed="12"/>
      <name val="Verdana"/>
      <family val="2"/>
    </font>
    <font>
      <sz val="10"/>
      <color indexed="62"/>
      <name val="Verdana"/>
      <family val="2"/>
    </font>
    <font>
      <sz val="10"/>
      <color indexed="62"/>
      <name val="Arial"/>
      <family val="2"/>
    </font>
    <font>
      <sz val="10"/>
      <color indexed="41"/>
      <name val="Arial"/>
      <family val="2"/>
    </font>
    <font>
      <sz val="10"/>
      <color indexed="59"/>
      <name val="Arial"/>
      <family val="2"/>
    </font>
    <font>
      <sz val="10"/>
      <color indexed="8"/>
      <name val="Verdana"/>
      <family val="2"/>
    </font>
    <font>
      <sz val="10"/>
      <color indexed="56"/>
      <name val="Arial"/>
      <family val="2"/>
    </font>
    <font>
      <sz val="10"/>
      <color indexed="56"/>
      <name val="Verdana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color indexed="22"/>
      <name val="Arial"/>
      <family val="2"/>
    </font>
    <font>
      <b/>
      <sz val="10"/>
      <color indexed="54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9"/>
      <color indexed="62"/>
      <name val="Arial"/>
      <family val="2"/>
    </font>
    <font>
      <sz val="9"/>
      <color indexed="62"/>
      <name val="Verdana"/>
      <family val="2"/>
    </font>
    <font>
      <sz val="9"/>
      <color indexed="59"/>
      <name val="Arial"/>
      <family val="2"/>
    </font>
    <font>
      <sz val="12"/>
      <color indexed="8"/>
      <name val="Arial"/>
      <family val="2"/>
    </font>
    <font>
      <b/>
      <sz val="9"/>
      <color indexed="54"/>
      <name val="Arial"/>
      <family val="2"/>
    </font>
    <font>
      <sz val="10"/>
      <color indexed="8"/>
      <name val="Arial"/>
      <family val="2"/>
    </font>
    <font>
      <sz val="8"/>
      <color indexed="60"/>
      <name val="Arial"/>
      <family val="2"/>
    </font>
    <font>
      <sz val="6"/>
      <name val="Arial"/>
      <family val="2"/>
    </font>
    <font>
      <b/>
      <sz val="9"/>
      <color indexed="44"/>
      <name val="Arial"/>
      <family val="2"/>
    </font>
    <font>
      <sz val="8"/>
      <name val="Verdana"/>
      <family val="2"/>
    </font>
    <font>
      <sz val="10"/>
      <color indexed="48"/>
      <name val="Verdana"/>
      <family val="2"/>
    </font>
    <font>
      <sz val="10"/>
      <color indexed="48"/>
      <name val="Arial"/>
      <family val="2"/>
    </font>
    <font>
      <b/>
      <sz val="9"/>
      <color indexed="8"/>
      <name val="Arial"/>
      <family val="2"/>
    </font>
    <font>
      <sz val="16"/>
      <color indexed="62"/>
      <name val="Comic Sans MS"/>
      <family val="4"/>
    </font>
    <font>
      <u val="single"/>
      <sz val="9"/>
      <color indexed="12"/>
      <name val="Arial"/>
      <family val="2"/>
    </font>
    <font>
      <u val="single"/>
      <sz val="8"/>
      <color indexed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name val="Verdana"/>
      <family val="2"/>
    </font>
    <font>
      <b/>
      <sz val="14"/>
      <color indexed="57"/>
      <name val="Comic Sans MS"/>
      <family val="4"/>
    </font>
    <font>
      <sz val="9"/>
      <color indexed="23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b/>
      <sz val="10"/>
      <color indexed="60"/>
      <name val="Arial Narrow"/>
      <family val="2"/>
    </font>
    <font>
      <sz val="10"/>
      <color indexed="59"/>
      <name val="Arial Narrow"/>
      <family val="2"/>
    </font>
    <font>
      <sz val="9"/>
      <color indexed="60"/>
      <name val="Arial"/>
      <family val="2"/>
    </font>
    <font>
      <sz val="9"/>
      <color indexed="41"/>
      <name val="Arial"/>
      <family val="2"/>
    </font>
    <font>
      <sz val="8"/>
      <color indexed="63"/>
      <name val="Arial"/>
      <family val="2"/>
    </font>
    <font>
      <sz val="9"/>
      <color indexed="54"/>
      <name val="Verdana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4"/>
      <color indexed="55"/>
      <name val="Arial"/>
      <family val="2"/>
    </font>
    <font>
      <b/>
      <sz val="10"/>
      <color indexed="12"/>
      <name val="Arial Narrow"/>
      <family val="2"/>
    </font>
    <font>
      <sz val="8"/>
      <color indexed="53"/>
      <name val="Arial"/>
      <family val="2"/>
    </font>
    <font>
      <sz val="8"/>
      <color indexed="10"/>
      <name val="Arial Narrow"/>
      <family val="2"/>
    </font>
    <font>
      <b/>
      <sz val="9"/>
      <color indexed="18"/>
      <name val="Arial"/>
      <family val="2"/>
    </font>
    <font>
      <b/>
      <sz val="10"/>
      <color indexed="62"/>
      <name val="Arial"/>
      <family val="2"/>
    </font>
    <font>
      <sz val="8"/>
      <color indexed="23"/>
      <name val="Arial"/>
      <family val="2"/>
    </font>
    <font>
      <b/>
      <sz val="10"/>
      <name val="Verdana"/>
      <family val="2"/>
    </font>
    <font>
      <b/>
      <sz val="8"/>
      <color indexed="60"/>
      <name val="Arial"/>
      <family val="2"/>
    </font>
    <font>
      <u val="single"/>
      <sz val="12"/>
      <color indexed="9"/>
      <name val="Arial"/>
      <family val="2"/>
    </font>
    <font>
      <sz val="8"/>
      <color indexed="63"/>
      <name val="Tahoma"/>
      <family val="2"/>
    </font>
    <font>
      <sz val="10"/>
      <color indexed="63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9"/>
      <name val="Arial Narrow"/>
      <family val="2"/>
    </font>
    <font>
      <sz val="36"/>
      <name val="Iron Maiden"/>
      <family val="2"/>
    </font>
    <font>
      <sz val="36"/>
      <name val="Purgatory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hair"/>
      <right style="hair"/>
      <top style="hair"/>
      <bottom style="hair"/>
    </border>
    <border>
      <left/>
      <right style="thick">
        <color indexed="9"/>
      </right>
      <top style="thick">
        <color indexed="9"/>
      </top>
      <bottom style="thick">
        <color indexed="9"/>
      </bottom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medium">
        <color indexed="9"/>
      </left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/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 style="medium">
        <color indexed="9"/>
      </right>
      <top style="thick">
        <color indexed="9"/>
      </top>
      <bottom style="thick">
        <color indexed="9"/>
      </bottom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0" applyNumberFormat="0" applyBorder="0" applyAlignment="0" applyProtection="0"/>
    <xf numFmtId="0" fontId="98" fillId="21" borderId="1" applyNumberFormat="0" applyAlignment="0" applyProtection="0"/>
    <xf numFmtId="0" fontId="99" fillId="22" borderId="2" applyNumberFormat="0" applyAlignment="0" applyProtection="0"/>
    <xf numFmtId="0" fontId="100" fillId="0" borderId="3" applyNumberFormat="0" applyFill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101" fillId="29" borderId="1" applyNumberFormat="0" applyAlignment="0" applyProtection="0"/>
    <xf numFmtId="0" fontId="3" fillId="0" borderId="0" applyNumberFormat="0" applyFill="0" applyBorder="0" applyAlignment="0" applyProtection="0"/>
    <xf numFmtId="0" fontId="10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10" fillId="0" borderId="8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4" fillId="0" borderId="10" xfId="0" applyFont="1" applyFill="1" applyBorder="1" applyAlignment="1" applyProtection="1">
      <alignment/>
      <protection hidden="1"/>
    </xf>
    <xf numFmtId="0" fontId="39" fillId="0" borderId="10" xfId="0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15" fillId="0" borderId="10" xfId="0" applyFont="1" applyFill="1" applyBorder="1" applyAlignment="1" applyProtection="1">
      <alignment/>
      <protection hidden="1"/>
    </xf>
    <xf numFmtId="0" fontId="12" fillId="0" borderId="11" xfId="0" applyFont="1" applyFill="1" applyBorder="1" applyAlignment="1" applyProtection="1">
      <alignment/>
      <protection hidden="1"/>
    </xf>
    <xf numFmtId="0" fontId="11" fillId="0" borderId="12" xfId="0" applyFont="1" applyFill="1" applyBorder="1" applyAlignment="1" applyProtection="1">
      <alignment horizontal="center"/>
      <protection hidden="1" locked="0"/>
    </xf>
    <xf numFmtId="0" fontId="31" fillId="0" borderId="10" xfId="0" applyFont="1" applyFill="1" applyBorder="1" applyAlignment="1" applyProtection="1">
      <alignment horizontal="center"/>
      <protection hidden="1"/>
    </xf>
    <xf numFmtId="0" fontId="11" fillId="0" borderId="11" xfId="0" applyFont="1" applyFill="1" applyBorder="1" applyAlignment="1" applyProtection="1">
      <alignment horizontal="center"/>
      <protection hidden="1" locked="0"/>
    </xf>
    <xf numFmtId="0" fontId="11" fillId="0" borderId="12" xfId="0" applyFont="1" applyFill="1" applyBorder="1" applyAlignment="1" applyProtection="1">
      <alignment horizontal="center"/>
      <protection hidden="1"/>
    </xf>
    <xf numFmtId="0" fontId="18" fillId="0" borderId="13" xfId="0" applyFont="1" applyFill="1" applyBorder="1" applyAlignment="1" applyProtection="1">
      <alignment/>
      <protection hidden="1"/>
    </xf>
    <xf numFmtId="0" fontId="13" fillId="0" borderId="11" xfId="0" applyFont="1" applyFill="1" applyBorder="1" applyAlignment="1" applyProtection="1">
      <alignment/>
      <protection hidden="1"/>
    </xf>
    <xf numFmtId="0" fontId="18" fillId="0" borderId="14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15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/>
      <protection hidden="1"/>
    </xf>
    <xf numFmtId="0" fontId="26" fillId="0" borderId="12" xfId="0" applyFont="1" applyFill="1" applyBorder="1" applyAlignment="1" applyProtection="1">
      <alignment horizontal="center"/>
      <protection hidden="1" locked="0"/>
    </xf>
    <xf numFmtId="0" fontId="32" fillId="0" borderId="10" xfId="0" applyFont="1" applyFill="1" applyBorder="1" applyAlignment="1" applyProtection="1">
      <alignment horizontal="center"/>
      <protection hidden="1"/>
    </xf>
    <xf numFmtId="0" fontId="26" fillId="0" borderId="12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18" fillId="0" borderId="16" xfId="0" applyFont="1" applyFill="1" applyBorder="1" applyAlignment="1" applyProtection="1">
      <alignment/>
      <protection hidden="1"/>
    </xf>
    <xf numFmtId="0" fontId="29" fillId="0" borderId="17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19" fillId="0" borderId="18" xfId="0" applyFont="1" applyFill="1" applyBorder="1" applyAlignment="1" applyProtection="1">
      <alignment/>
      <protection hidden="1"/>
    </xf>
    <xf numFmtId="0" fontId="37" fillId="0" borderId="0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22" fillId="0" borderId="18" xfId="0" applyFont="1" applyFill="1" applyBorder="1" applyAlignment="1" applyProtection="1">
      <alignment/>
      <protection hidden="1"/>
    </xf>
    <xf numFmtId="0" fontId="7" fillId="0" borderId="18" xfId="0" applyFont="1" applyFill="1" applyBorder="1" applyAlignment="1" applyProtection="1">
      <alignment/>
      <protection hidden="1"/>
    </xf>
    <xf numFmtId="0" fontId="7" fillId="0" borderId="18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21" fillId="0" borderId="18" xfId="0" applyFont="1" applyFill="1" applyBorder="1" applyAlignment="1" applyProtection="1">
      <alignment/>
      <protection hidden="1"/>
    </xf>
    <xf numFmtId="0" fontId="8" fillId="0" borderId="18" xfId="0" applyFont="1" applyFill="1" applyBorder="1" applyAlignment="1" applyProtection="1">
      <alignment/>
      <protection hidden="1"/>
    </xf>
    <xf numFmtId="0" fontId="11" fillId="0" borderId="18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10" fillId="0" borderId="18" xfId="0" applyFont="1" applyFill="1" applyBorder="1" applyAlignment="1" applyProtection="1">
      <alignment/>
      <protection hidden="1"/>
    </xf>
    <xf numFmtId="0" fontId="23" fillId="0" borderId="18" xfId="0" applyFont="1" applyFill="1" applyBorder="1" applyAlignment="1" applyProtection="1">
      <alignment/>
      <protection hidden="1"/>
    </xf>
    <xf numFmtId="0" fontId="9" fillId="0" borderId="18" xfId="0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/>
      <protection hidden="1"/>
    </xf>
    <xf numFmtId="0" fontId="45" fillId="0" borderId="0" xfId="0" applyFont="1" applyFill="1" applyBorder="1" applyAlignment="1" applyProtection="1">
      <alignment/>
      <protection hidden="1"/>
    </xf>
    <xf numFmtId="172" fontId="45" fillId="0" borderId="0" xfId="0" applyNumberFormat="1" applyFont="1" applyFill="1" applyBorder="1" applyAlignment="1" applyProtection="1">
      <alignment/>
      <protection hidden="1"/>
    </xf>
    <xf numFmtId="20" fontId="45" fillId="0" borderId="0" xfId="0" applyNumberFormat="1" applyFont="1" applyFill="1" applyBorder="1" applyAlignment="1" applyProtection="1">
      <alignment/>
      <protection hidden="1"/>
    </xf>
    <xf numFmtId="0" fontId="45" fillId="0" borderId="18" xfId="0" applyFont="1" applyFill="1" applyBorder="1" applyAlignment="1" applyProtection="1">
      <alignment/>
      <protection hidden="1"/>
    </xf>
    <xf numFmtId="14" fontId="40" fillId="0" borderId="0" xfId="0" applyNumberFormat="1" applyFont="1" applyFill="1" applyBorder="1" applyAlignment="1" applyProtection="1">
      <alignment horizontal="center"/>
      <protection hidden="1"/>
    </xf>
    <xf numFmtId="20" fontId="40" fillId="0" borderId="0" xfId="0" applyNumberFormat="1" applyFont="1" applyFill="1" applyBorder="1" applyAlignment="1" applyProtection="1">
      <alignment horizontal="left"/>
      <protection hidden="1"/>
    </xf>
    <xf numFmtId="20" fontId="40" fillId="0" borderId="18" xfId="0" applyNumberFormat="1" applyFont="1" applyFill="1" applyBorder="1" applyAlignment="1" applyProtection="1">
      <alignment horizontal="left"/>
      <protection hidden="1"/>
    </xf>
    <xf numFmtId="0" fontId="46" fillId="0" borderId="19" xfId="0" applyFont="1" applyFill="1" applyBorder="1" applyAlignment="1" applyProtection="1">
      <alignment vertical="center"/>
      <protection hidden="1"/>
    </xf>
    <xf numFmtId="0" fontId="47" fillId="0" borderId="18" xfId="0" applyFont="1" applyFill="1" applyBorder="1" applyAlignment="1" applyProtection="1">
      <alignment/>
      <protection hidden="1"/>
    </xf>
    <xf numFmtId="18" fontId="48" fillId="0" borderId="10" xfId="0" applyNumberFormat="1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49" fillId="0" borderId="18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53" fillId="0" borderId="19" xfId="0" applyFont="1" applyFill="1" applyBorder="1" applyAlignment="1" applyProtection="1">
      <alignment vertical="center"/>
      <protection hidden="1"/>
    </xf>
    <xf numFmtId="0" fontId="54" fillId="0" borderId="19" xfId="0" applyFont="1" applyFill="1" applyBorder="1" applyAlignment="1" applyProtection="1">
      <alignment vertical="center"/>
      <protection hidden="1"/>
    </xf>
    <xf numFmtId="0" fontId="55" fillId="0" borderId="19" xfId="0" applyFont="1" applyFill="1" applyBorder="1" applyAlignment="1" applyProtection="1">
      <alignment vertical="center"/>
      <protection hidden="1"/>
    </xf>
    <xf numFmtId="0" fontId="37" fillId="0" borderId="12" xfId="0" applyFont="1" applyFill="1" applyBorder="1" applyAlignment="1" applyProtection="1">
      <alignment horizontal="right"/>
      <protection hidden="1"/>
    </xf>
    <xf numFmtId="0" fontId="37" fillId="0" borderId="11" xfId="0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center"/>
      <protection hidden="1"/>
    </xf>
    <xf numFmtId="0" fontId="62" fillId="0" borderId="0" xfId="0" applyFont="1" applyFill="1" applyBorder="1" applyAlignment="1" applyProtection="1">
      <alignment/>
      <protection hidden="1"/>
    </xf>
    <xf numFmtId="0" fontId="29" fillId="0" borderId="15" xfId="0" applyFont="1" applyFill="1" applyBorder="1" applyAlignment="1" applyProtection="1">
      <alignment horizontal="center"/>
      <protection hidden="1"/>
    </xf>
    <xf numFmtId="0" fontId="41" fillId="0" borderId="17" xfId="0" applyFont="1" applyFill="1" applyBorder="1" applyAlignment="1" applyProtection="1">
      <alignment/>
      <protection hidden="1"/>
    </xf>
    <xf numFmtId="0" fontId="29" fillId="0" borderId="20" xfId="0" applyFont="1" applyFill="1" applyBorder="1" applyAlignment="1" applyProtection="1">
      <alignment horizontal="center"/>
      <protection hidden="1"/>
    </xf>
    <xf numFmtId="0" fontId="63" fillId="0" borderId="0" xfId="0" applyFont="1" applyFill="1" applyBorder="1" applyAlignment="1" applyProtection="1">
      <alignment/>
      <protection hidden="1"/>
    </xf>
    <xf numFmtId="0" fontId="63" fillId="0" borderId="0" xfId="0" applyFont="1" applyFill="1" applyBorder="1" applyAlignment="1" applyProtection="1">
      <alignment horizontal="right"/>
      <protection hidden="1"/>
    </xf>
    <xf numFmtId="18" fontId="64" fillId="0" borderId="10" xfId="0" applyNumberFormat="1" applyFont="1" applyFill="1" applyBorder="1" applyAlignment="1" applyProtection="1">
      <alignment/>
      <protection hidden="1"/>
    </xf>
    <xf numFmtId="0" fontId="53" fillId="0" borderId="10" xfId="0" applyFont="1" applyFill="1" applyBorder="1" applyAlignment="1" applyProtection="1">
      <alignment/>
      <protection hidden="1"/>
    </xf>
    <xf numFmtId="0" fontId="53" fillId="0" borderId="11" xfId="0" applyFont="1" applyFill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 hidden="1"/>
    </xf>
    <xf numFmtId="0" fontId="55" fillId="33" borderId="18" xfId="0" applyFont="1" applyFill="1" applyBorder="1" applyAlignment="1" applyProtection="1">
      <alignment horizontal="center"/>
      <protection hidden="1"/>
    </xf>
    <xf numFmtId="0" fontId="37" fillId="34" borderId="21" xfId="0" applyFont="1" applyFill="1" applyBorder="1" applyAlignment="1" applyProtection="1">
      <alignment horizontal="center"/>
      <protection hidden="1"/>
    </xf>
    <xf numFmtId="0" fontId="37" fillId="0" borderId="11" xfId="0" applyFont="1" applyFill="1" applyBorder="1" applyAlignment="1" applyProtection="1">
      <alignment horizontal="left"/>
      <protection hidden="1"/>
    </xf>
    <xf numFmtId="0" fontId="1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69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69" fillId="0" borderId="0" xfId="0" applyFont="1" applyFill="1" applyBorder="1" applyAlignment="1" applyProtection="1">
      <alignment/>
      <protection hidden="1"/>
    </xf>
    <xf numFmtId="0" fontId="57" fillId="0" borderId="22" xfId="0" applyFont="1" applyFill="1" applyBorder="1" applyAlignment="1" applyProtection="1">
      <alignment horizontal="center"/>
      <protection hidden="1"/>
    </xf>
    <xf numFmtId="0" fontId="53" fillId="0" borderId="23" xfId="0" applyFont="1" applyFill="1" applyBorder="1" applyAlignment="1" applyProtection="1">
      <alignment horizontal="center"/>
      <protection hidden="1"/>
    </xf>
    <xf numFmtId="0" fontId="33" fillId="0" borderId="1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37" fillId="0" borderId="10" xfId="0" applyFont="1" applyFill="1" applyBorder="1" applyAlignment="1" applyProtection="1">
      <alignment horizontal="right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26" fillId="0" borderId="10" xfId="0" applyFont="1" applyFill="1" applyBorder="1" applyAlignment="1" applyProtection="1">
      <alignment horizontal="center"/>
      <protection hidden="1"/>
    </xf>
    <xf numFmtId="0" fontId="54" fillId="0" borderId="18" xfId="0" applyFont="1" applyFill="1" applyBorder="1" applyAlignment="1" applyProtection="1">
      <alignment/>
      <protection hidden="1"/>
    </xf>
    <xf numFmtId="0" fontId="54" fillId="0" borderId="18" xfId="0" applyFont="1" applyFill="1" applyBorder="1" applyAlignment="1" applyProtection="1">
      <alignment horizontal="center"/>
      <protection hidden="1"/>
    </xf>
    <xf numFmtId="0" fontId="70" fillId="0" borderId="0" xfId="0" applyFont="1" applyFill="1" applyBorder="1" applyAlignment="1" applyProtection="1">
      <alignment/>
      <protection hidden="1"/>
    </xf>
    <xf numFmtId="0" fontId="71" fillId="0" borderId="0" xfId="0" applyFont="1" applyFill="1" applyBorder="1" applyAlignment="1" applyProtection="1">
      <alignment/>
      <protection hidden="1"/>
    </xf>
    <xf numFmtId="0" fontId="72" fillId="0" borderId="0" xfId="0" applyFont="1" applyFill="1" applyBorder="1" applyAlignment="1" applyProtection="1">
      <alignment/>
      <protection hidden="1"/>
    </xf>
    <xf numFmtId="0" fontId="73" fillId="0" borderId="0" xfId="0" applyFont="1" applyFill="1" applyBorder="1" applyAlignment="1" applyProtection="1">
      <alignment/>
      <protection hidden="1"/>
    </xf>
    <xf numFmtId="0" fontId="74" fillId="0" borderId="0" xfId="0" applyFont="1" applyFill="1" applyBorder="1" applyAlignment="1" applyProtection="1">
      <alignment/>
      <protection hidden="1"/>
    </xf>
    <xf numFmtId="173" fontId="58" fillId="0" borderId="11" xfId="0" applyNumberFormat="1" applyFont="1" applyFill="1" applyBorder="1" applyAlignment="1" applyProtection="1">
      <alignment horizontal="left"/>
      <protection hidden="1"/>
    </xf>
    <xf numFmtId="0" fontId="59" fillId="0" borderId="24" xfId="0" applyFont="1" applyFill="1" applyBorder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0" fillId="0" borderId="17" xfId="0" applyFont="1" applyBorder="1" applyAlignment="1" applyProtection="1">
      <alignment/>
      <protection hidden="1"/>
    </xf>
    <xf numFmtId="14" fontId="58" fillId="0" borderId="12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Alignment="1" applyProtection="1">
      <alignment/>
      <protection hidden="1"/>
    </xf>
    <xf numFmtId="173" fontId="58" fillId="0" borderId="0" xfId="0" applyNumberFormat="1" applyFont="1" applyFill="1" applyBorder="1" applyAlignment="1" applyProtection="1">
      <alignment horizontal="left"/>
      <protection hidden="1"/>
    </xf>
    <xf numFmtId="0" fontId="71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0" fontId="56" fillId="35" borderId="25" xfId="44" applyFont="1" applyFill="1" applyBorder="1" applyAlignment="1" applyProtection="1">
      <alignment horizontal="center" vertical="center"/>
      <protection hidden="1"/>
    </xf>
    <xf numFmtId="0" fontId="37" fillId="0" borderId="10" xfId="0" applyFont="1" applyFill="1" applyBorder="1" applyAlignment="1" applyProtection="1">
      <alignment/>
      <protection hidden="1"/>
    </xf>
    <xf numFmtId="0" fontId="75" fillId="0" borderId="26" xfId="0" applyFont="1" applyFill="1" applyBorder="1" applyAlignment="1" applyProtection="1">
      <alignment/>
      <protection hidden="1"/>
    </xf>
    <xf numFmtId="0" fontId="59" fillId="0" borderId="27" xfId="0" applyFont="1" applyBorder="1" applyAlignment="1" applyProtection="1">
      <alignment/>
      <protection hidden="1"/>
    </xf>
    <xf numFmtId="14" fontId="58" fillId="0" borderId="0" xfId="0" applyNumberFormat="1" applyFont="1" applyFill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/>
      <protection hidden="1"/>
    </xf>
    <xf numFmtId="0" fontId="61" fillId="0" borderId="28" xfId="0" applyFont="1" applyFill="1" applyBorder="1" applyAlignment="1" applyProtection="1">
      <alignment/>
      <protection hidden="1"/>
    </xf>
    <xf numFmtId="0" fontId="61" fillId="0" borderId="29" xfId="0" applyFont="1" applyFill="1" applyBorder="1" applyAlignment="1" applyProtection="1">
      <alignment/>
      <protection hidden="1"/>
    </xf>
    <xf numFmtId="0" fontId="33" fillId="0" borderId="10" xfId="0" applyFont="1" applyFill="1" applyBorder="1" applyAlignment="1" applyProtection="1">
      <alignment horizontal="center"/>
      <protection hidden="1"/>
    </xf>
    <xf numFmtId="0" fontId="27" fillId="0" borderId="10" xfId="0" applyFont="1" applyFill="1" applyBorder="1" applyAlignment="1" applyProtection="1">
      <alignment horizontal="center"/>
      <protection hidden="1"/>
    </xf>
    <xf numFmtId="0" fontId="27" fillId="0" borderId="11" xfId="0" applyFont="1" applyFill="1" applyBorder="1" applyAlignment="1" applyProtection="1">
      <alignment horizontal="center"/>
      <protection hidden="1"/>
    </xf>
    <xf numFmtId="0" fontId="33" fillId="0" borderId="12" xfId="0" applyFont="1" applyFill="1" applyBorder="1" applyAlignment="1" applyProtection="1">
      <alignment horizontal="center"/>
      <protection hidden="1"/>
    </xf>
    <xf numFmtId="0" fontId="65" fillId="35" borderId="30" xfId="44" applyFont="1" applyFill="1" applyBorder="1" applyAlignment="1" applyProtection="1">
      <alignment horizontal="center" vertical="center"/>
      <protection hidden="1"/>
    </xf>
    <xf numFmtId="0" fontId="65" fillId="35" borderId="31" xfId="44" applyFont="1" applyFill="1" applyBorder="1" applyAlignment="1" applyProtection="1">
      <alignment horizontal="center" vertical="center"/>
      <protection hidden="1"/>
    </xf>
    <xf numFmtId="0" fontId="76" fillId="0" borderId="17" xfId="0" applyFont="1" applyFill="1" applyBorder="1" applyAlignment="1" applyProtection="1">
      <alignment horizontal="center" vertical="center" wrapText="1"/>
      <protection hidden="1"/>
    </xf>
    <xf numFmtId="0" fontId="50" fillId="0" borderId="32" xfId="0" applyFont="1" applyFill="1" applyBorder="1" applyAlignment="1" applyProtection="1">
      <alignment horizontal="right"/>
      <protection hidden="1"/>
    </xf>
    <xf numFmtId="0" fontId="52" fillId="35" borderId="33" xfId="0" applyFont="1" applyFill="1" applyBorder="1" applyAlignment="1" applyProtection="1">
      <alignment horizontal="left" vertical="center"/>
      <protection hidden="1"/>
    </xf>
    <xf numFmtId="0" fontId="52" fillId="35" borderId="31" xfId="0" applyFont="1" applyFill="1" applyBorder="1" applyAlignment="1" applyProtection="1">
      <alignment horizontal="left" vertical="center"/>
      <protection hidden="1"/>
    </xf>
    <xf numFmtId="0" fontId="52" fillId="35" borderId="34" xfId="0" applyFont="1" applyFill="1" applyBorder="1" applyAlignment="1" applyProtection="1">
      <alignment horizontal="left" vertical="center"/>
      <protection hidden="1"/>
    </xf>
    <xf numFmtId="0" fontId="27" fillId="0" borderId="10" xfId="0" applyFont="1" applyFill="1" applyBorder="1" applyAlignment="1" applyProtection="1">
      <alignment horizontal="left"/>
      <protection hidden="1"/>
    </xf>
    <xf numFmtId="0" fontId="3" fillId="0" borderId="0" xfId="44" applyFill="1" applyBorder="1" applyAlignment="1" applyProtection="1">
      <alignment/>
      <protection hidden="1"/>
    </xf>
    <xf numFmtId="0" fontId="36" fillId="0" borderId="0" xfId="44" applyFont="1" applyFill="1" applyBorder="1" applyAlignment="1" applyProtection="1">
      <alignment/>
      <protection hidden="1"/>
    </xf>
    <xf numFmtId="0" fontId="35" fillId="0" borderId="0" xfId="44" applyFont="1" applyFill="1" applyBorder="1" applyAlignment="1" applyProtection="1">
      <alignment/>
      <protection hidden="1"/>
    </xf>
    <xf numFmtId="0" fontId="3" fillId="0" borderId="0" xfId="44" applyFill="1" applyBorder="1" applyAlignment="1" applyProtection="1">
      <alignment horizontal="center"/>
      <protection hidden="1"/>
    </xf>
    <xf numFmtId="0" fontId="28" fillId="36" borderId="35" xfId="0" applyFont="1" applyFill="1" applyBorder="1" applyAlignment="1" applyProtection="1">
      <alignment horizontal="center"/>
      <protection hidden="1"/>
    </xf>
    <xf numFmtId="0" fontId="55" fillId="0" borderId="0" xfId="0" applyFont="1" applyFill="1" applyBorder="1" applyAlignment="1" applyProtection="1">
      <alignment horizontal="left"/>
      <protection hidden="1"/>
    </xf>
    <xf numFmtId="0" fontId="55" fillId="0" borderId="23" xfId="0" applyFont="1" applyFill="1" applyBorder="1" applyAlignment="1" applyProtection="1">
      <alignment horizontal="center"/>
      <protection hidden="1"/>
    </xf>
    <xf numFmtId="0" fontId="55" fillId="0" borderId="36" xfId="0" applyFont="1" applyFill="1" applyBorder="1" applyAlignment="1" applyProtection="1">
      <alignment horizontal="center"/>
      <protection hidden="1"/>
    </xf>
    <xf numFmtId="0" fontId="55" fillId="0" borderId="37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 vertical="justify"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57" fillId="0" borderId="38" xfId="0" applyFont="1" applyFill="1" applyBorder="1" applyAlignment="1" applyProtection="1">
      <alignment horizontal="center"/>
      <protection hidden="1"/>
    </xf>
    <xf numFmtId="0" fontId="57" fillId="0" borderId="22" xfId="0" applyFont="1" applyFill="1" applyBorder="1" applyAlignment="1" applyProtection="1">
      <alignment horizontal="center"/>
      <protection hidden="1"/>
    </xf>
    <xf numFmtId="0" fontId="55" fillId="0" borderId="39" xfId="0" applyFont="1" applyFill="1" applyBorder="1" applyAlignment="1" applyProtection="1">
      <alignment horizontal="center"/>
      <protection hidden="1"/>
    </xf>
    <xf numFmtId="0" fontId="55" fillId="0" borderId="40" xfId="0" applyFont="1" applyFill="1" applyBorder="1" applyAlignment="1" applyProtection="1">
      <alignment horizontal="center"/>
      <protection hidden="1"/>
    </xf>
    <xf numFmtId="0" fontId="55" fillId="0" borderId="41" xfId="0" applyFont="1" applyFill="1" applyBorder="1" applyAlignment="1" applyProtection="1">
      <alignment horizontal="center"/>
      <protection hidden="1"/>
    </xf>
    <xf numFmtId="0" fontId="53" fillId="0" borderId="42" xfId="0" applyFont="1" applyFill="1" applyBorder="1" applyAlignment="1" applyProtection="1">
      <alignment horizontal="center"/>
      <protection hidden="1"/>
    </xf>
    <xf numFmtId="0" fontId="53" fillId="0" borderId="23" xfId="0" applyFont="1" applyFill="1" applyBorder="1" applyAlignment="1" applyProtection="1">
      <alignment horizontal="center"/>
      <protection hidden="1"/>
    </xf>
    <xf numFmtId="0" fontId="68" fillId="37" borderId="0" xfId="0" applyFont="1" applyFill="1" applyBorder="1" applyAlignment="1" applyProtection="1">
      <alignment horizontal="center"/>
      <protection hidden="1"/>
    </xf>
    <xf numFmtId="0" fontId="18" fillId="37" borderId="0" xfId="0" applyFont="1" applyFill="1" applyBorder="1" applyAlignment="1" applyProtection="1">
      <alignment horizont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7">
    <dxf>
      <font>
        <color indexed="10"/>
      </font>
      <border>
        <left style="hair">
          <color indexed="52"/>
        </left>
        <right style="hair">
          <color indexed="52"/>
        </right>
        <top style="hair">
          <color indexed="52"/>
        </top>
        <bottom style="hair">
          <color indexed="52"/>
        </bottom>
      </border>
    </dxf>
    <dxf>
      <font>
        <color indexed="8"/>
      </font>
      <border>
        <left style="hair">
          <color indexed="52"/>
        </left>
        <right style="hair">
          <color indexed="52"/>
        </right>
        <top style="hair">
          <color indexed="52"/>
        </top>
        <bottom style="hair">
          <color indexed="52"/>
        </bottom>
      </border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bgColor indexed="65"/>
        </patternFill>
      </fill>
    </dxf>
    <dxf>
      <font>
        <b val="0"/>
        <i val="0"/>
        <color indexed="48"/>
      </font>
      <fill>
        <patternFill>
          <bgColor indexed="22"/>
        </patternFill>
      </fill>
    </dxf>
    <dxf>
      <font>
        <color rgb="FF000000"/>
      </font>
      <border>
        <left style="hair">
          <color rgb="FFFF9900"/>
        </left>
        <right style="hair">
          <color rgb="FF0000FF"/>
        </right>
        <top style="hair"/>
        <bottom style="hair">
          <color rgb="FF0000FF"/>
        </bottom>
      </border>
    </dxf>
    <dxf>
      <font>
        <color rgb="FFFF0000"/>
      </font>
      <border>
        <left style="hair">
          <color rgb="FFFF9900"/>
        </left>
        <right style="hair">
          <color rgb="FF0000FF"/>
        </right>
        <top style="hair"/>
        <bottom style="hair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38100</xdr:rowOff>
    </xdr:from>
    <xdr:to>
      <xdr:col>11</xdr:col>
      <xdr:colOff>361950</xdr:colOff>
      <xdr:row>0</xdr:row>
      <xdr:rowOff>257175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38475" y="38100"/>
          <a:ext cx="2047875" cy="219075"/>
        </a:xfrm>
        <a:prstGeom prst="rect">
          <a:avLst/>
        </a:prstGeom>
        <a:solidFill>
          <a:srgbClr val="7F7F7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Autor: Johann Klaus</a:t>
          </a:r>
        </a:p>
      </xdr:txBody>
    </xdr:sp>
    <xdr:clientData/>
  </xdr:twoCellAnchor>
  <xdr:twoCellAnchor editAs="oneCell">
    <xdr:from>
      <xdr:col>2</xdr:col>
      <xdr:colOff>28575</xdr:colOff>
      <xdr:row>4</xdr:row>
      <xdr:rowOff>28575</xdr:rowOff>
    </xdr:from>
    <xdr:to>
      <xdr:col>2</xdr:col>
      <xdr:colOff>238125</xdr:colOff>
      <xdr:row>4</xdr:row>
      <xdr:rowOff>142875</xdr:rowOff>
    </xdr:to>
    <xdr:pic>
      <xdr:nvPicPr>
        <xdr:cNvPr id="2" name="Picture 93" descr="bras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955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247650</xdr:colOff>
      <xdr:row>6</xdr:row>
      <xdr:rowOff>142875</xdr:rowOff>
    </xdr:to>
    <xdr:pic>
      <xdr:nvPicPr>
        <xdr:cNvPr id="3" name="Picture 93" descr="bras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41935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942975</xdr:colOff>
      <xdr:row>8</xdr:row>
      <xdr:rowOff>28575</xdr:rowOff>
    </xdr:from>
    <xdr:to>
      <xdr:col>10</xdr:col>
      <xdr:colOff>1152525</xdr:colOff>
      <xdr:row>8</xdr:row>
      <xdr:rowOff>142875</xdr:rowOff>
    </xdr:to>
    <xdr:pic>
      <xdr:nvPicPr>
        <xdr:cNvPr id="4" name="Picture 93" descr="bras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7432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152400</xdr:rowOff>
    </xdr:from>
    <xdr:to>
      <xdr:col>2</xdr:col>
      <xdr:colOff>342900</xdr:colOff>
      <xdr:row>2</xdr:row>
      <xdr:rowOff>1438275</xdr:rowOff>
    </xdr:to>
    <xdr:pic>
      <xdr:nvPicPr>
        <xdr:cNvPr id="5" name="Imagem 38" descr="Eddie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0960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2</xdr:row>
      <xdr:rowOff>161925</xdr:rowOff>
    </xdr:from>
    <xdr:to>
      <xdr:col>21</xdr:col>
      <xdr:colOff>209550</xdr:colOff>
      <xdr:row>2</xdr:row>
      <xdr:rowOff>1447800</xdr:rowOff>
    </xdr:to>
    <xdr:pic>
      <xdr:nvPicPr>
        <xdr:cNvPr id="6" name="Imagem 39" descr="Eddie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619125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</xdr:row>
      <xdr:rowOff>28575</xdr:rowOff>
    </xdr:from>
    <xdr:to>
      <xdr:col>2</xdr:col>
      <xdr:colOff>219075</xdr:colOff>
      <xdr:row>5</xdr:row>
      <xdr:rowOff>123825</xdr:rowOff>
    </xdr:to>
    <xdr:pic>
      <xdr:nvPicPr>
        <xdr:cNvPr id="7" name="Picture 26" descr="http://esportes.terra.com.br/infograficos/selecoes-copa-2014/img/mexic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22574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971550</xdr:colOff>
      <xdr:row>6</xdr:row>
      <xdr:rowOff>28575</xdr:rowOff>
    </xdr:from>
    <xdr:to>
      <xdr:col>10</xdr:col>
      <xdr:colOff>1152525</xdr:colOff>
      <xdr:row>6</xdr:row>
      <xdr:rowOff>123825</xdr:rowOff>
    </xdr:to>
    <xdr:pic>
      <xdr:nvPicPr>
        <xdr:cNvPr id="8" name="Picture 26" descr="http://esportes.terra.com.br/infograficos/selecoes-copa-2014/img/mexic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24193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9</xdr:row>
      <xdr:rowOff>28575</xdr:rowOff>
    </xdr:from>
    <xdr:to>
      <xdr:col>10</xdr:col>
      <xdr:colOff>1143000</xdr:colOff>
      <xdr:row>9</xdr:row>
      <xdr:rowOff>123825</xdr:rowOff>
    </xdr:to>
    <xdr:pic>
      <xdr:nvPicPr>
        <xdr:cNvPr id="9" name="Picture 26" descr="http://esportes.terra.com.br/infograficos/selecoes-copa-2014/img/mexic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29051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971550</xdr:colOff>
      <xdr:row>5</xdr:row>
      <xdr:rowOff>28575</xdr:rowOff>
    </xdr:from>
    <xdr:to>
      <xdr:col>10</xdr:col>
      <xdr:colOff>1152525</xdr:colOff>
      <xdr:row>5</xdr:row>
      <xdr:rowOff>123825</xdr:rowOff>
    </xdr:to>
    <xdr:pic>
      <xdr:nvPicPr>
        <xdr:cNvPr id="10" name="Picture 7" descr="http://esportes.terra.com.br/infograficos/selecoes-copa-2014/img/camaro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22574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971550</xdr:colOff>
      <xdr:row>4</xdr:row>
      <xdr:rowOff>28575</xdr:rowOff>
    </xdr:from>
    <xdr:to>
      <xdr:col>10</xdr:col>
      <xdr:colOff>1152525</xdr:colOff>
      <xdr:row>4</xdr:row>
      <xdr:rowOff>123825</xdr:rowOff>
    </xdr:to>
    <xdr:pic>
      <xdr:nvPicPr>
        <xdr:cNvPr id="11" name="Picture 13" descr="http://esportes.terra.com.br/infograficos/selecoes-copa-2014/img/croaci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95800" y="20955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7</xdr:row>
      <xdr:rowOff>28575</xdr:rowOff>
    </xdr:from>
    <xdr:to>
      <xdr:col>10</xdr:col>
      <xdr:colOff>1143000</xdr:colOff>
      <xdr:row>7</xdr:row>
      <xdr:rowOff>123825</xdr:rowOff>
    </xdr:to>
    <xdr:pic>
      <xdr:nvPicPr>
        <xdr:cNvPr id="12" name="Picture 13" descr="http://esportes.terra.com.br/infograficos/selecoes-copa-2014/img/croaci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86275" y="25812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9</xdr:row>
      <xdr:rowOff>28575</xdr:rowOff>
    </xdr:from>
    <xdr:to>
      <xdr:col>2</xdr:col>
      <xdr:colOff>219075</xdr:colOff>
      <xdr:row>9</xdr:row>
      <xdr:rowOff>123825</xdr:rowOff>
    </xdr:to>
    <xdr:pic>
      <xdr:nvPicPr>
        <xdr:cNvPr id="13" name="Picture 13" descr="http://esportes.terra.com.br/infograficos/selecoes-copa-2014/img/croaci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" y="29051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7</xdr:row>
      <xdr:rowOff>28575</xdr:rowOff>
    </xdr:from>
    <xdr:to>
      <xdr:col>2</xdr:col>
      <xdr:colOff>228600</xdr:colOff>
      <xdr:row>7</xdr:row>
      <xdr:rowOff>123825</xdr:rowOff>
    </xdr:to>
    <xdr:pic>
      <xdr:nvPicPr>
        <xdr:cNvPr id="14" name="Picture 7" descr="http://esportes.terra.com.br/infograficos/selecoes-copa-2014/img/camaro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25812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28575</xdr:rowOff>
    </xdr:from>
    <xdr:to>
      <xdr:col>2</xdr:col>
      <xdr:colOff>228600</xdr:colOff>
      <xdr:row>8</xdr:row>
      <xdr:rowOff>123825</xdr:rowOff>
    </xdr:to>
    <xdr:pic>
      <xdr:nvPicPr>
        <xdr:cNvPr id="15" name="Picture 7" descr="http://esportes.terra.com.br/infograficos/selecoes-copa-2014/img/camaro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27432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6</xdr:row>
      <xdr:rowOff>28575</xdr:rowOff>
    </xdr:from>
    <xdr:to>
      <xdr:col>13</xdr:col>
      <xdr:colOff>19050</xdr:colOff>
      <xdr:row>6</xdr:row>
      <xdr:rowOff>142875</xdr:rowOff>
    </xdr:to>
    <xdr:pic>
      <xdr:nvPicPr>
        <xdr:cNvPr id="16" name="Picture 93" descr="bras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241935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7</xdr:row>
      <xdr:rowOff>28575</xdr:rowOff>
    </xdr:from>
    <xdr:to>
      <xdr:col>12</xdr:col>
      <xdr:colOff>200025</xdr:colOff>
      <xdr:row>7</xdr:row>
      <xdr:rowOff>123825</xdr:rowOff>
    </xdr:to>
    <xdr:pic>
      <xdr:nvPicPr>
        <xdr:cNvPr id="17" name="Picture 13" descr="http://esportes.terra.com.br/infograficos/selecoes-copa-2014/img/croaci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25812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8</xdr:row>
      <xdr:rowOff>28575</xdr:rowOff>
    </xdr:from>
    <xdr:to>
      <xdr:col>12</xdr:col>
      <xdr:colOff>200025</xdr:colOff>
      <xdr:row>8</xdr:row>
      <xdr:rowOff>123825</xdr:rowOff>
    </xdr:to>
    <xdr:pic>
      <xdr:nvPicPr>
        <xdr:cNvPr id="18" name="Picture 26" descr="http://esportes.terra.com.br/infograficos/selecoes-copa-2014/img/mexic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27432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</xdr:row>
      <xdr:rowOff>19050</xdr:rowOff>
    </xdr:from>
    <xdr:to>
      <xdr:col>12</xdr:col>
      <xdr:colOff>200025</xdr:colOff>
      <xdr:row>9</xdr:row>
      <xdr:rowOff>114300</xdr:rowOff>
    </xdr:to>
    <xdr:pic>
      <xdr:nvPicPr>
        <xdr:cNvPr id="19" name="Picture 7" descr="http://esportes.terra.com.br/infograficos/selecoes-copa-2014/img/camaro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28956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</xdr:row>
      <xdr:rowOff>28575</xdr:rowOff>
    </xdr:from>
    <xdr:to>
      <xdr:col>2</xdr:col>
      <xdr:colOff>228600</xdr:colOff>
      <xdr:row>12</xdr:row>
      <xdr:rowOff>123825</xdr:rowOff>
    </xdr:to>
    <xdr:pic>
      <xdr:nvPicPr>
        <xdr:cNvPr id="20" name="Picture 15" descr="http://esportes.terra.com.br/infograficos/selecoes-copa-2014/img/1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34290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14</xdr:row>
      <xdr:rowOff>28575</xdr:rowOff>
    </xdr:from>
    <xdr:to>
      <xdr:col>2</xdr:col>
      <xdr:colOff>228600</xdr:colOff>
      <xdr:row>14</xdr:row>
      <xdr:rowOff>123825</xdr:rowOff>
    </xdr:to>
    <xdr:pic>
      <xdr:nvPicPr>
        <xdr:cNvPr id="21" name="Picture 15" descr="http://esportes.terra.com.br/infograficos/selecoes-copa-2014/img/1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37528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16</xdr:row>
      <xdr:rowOff>28575</xdr:rowOff>
    </xdr:from>
    <xdr:to>
      <xdr:col>9</xdr:col>
      <xdr:colOff>57150</xdr:colOff>
      <xdr:row>16</xdr:row>
      <xdr:rowOff>123825</xdr:rowOff>
    </xdr:to>
    <xdr:pic>
      <xdr:nvPicPr>
        <xdr:cNvPr id="22" name="Picture 15" descr="http://esportes.terra.com.br/infograficos/selecoes-copa-2014/img/1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28975" y="40767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13</xdr:row>
      <xdr:rowOff>28575</xdr:rowOff>
    </xdr:from>
    <xdr:to>
      <xdr:col>2</xdr:col>
      <xdr:colOff>228600</xdr:colOff>
      <xdr:row>13</xdr:row>
      <xdr:rowOff>123825</xdr:rowOff>
    </xdr:to>
    <xdr:pic>
      <xdr:nvPicPr>
        <xdr:cNvPr id="23" name="Picture 8" descr="http://esportes.terra.com.br/infograficos/selecoes-copa-2014/img/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35909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14</xdr:row>
      <xdr:rowOff>28575</xdr:rowOff>
    </xdr:from>
    <xdr:to>
      <xdr:col>9</xdr:col>
      <xdr:colOff>57150</xdr:colOff>
      <xdr:row>14</xdr:row>
      <xdr:rowOff>123825</xdr:rowOff>
    </xdr:to>
    <xdr:pic>
      <xdr:nvPicPr>
        <xdr:cNvPr id="24" name="Picture 8" descr="http://esportes.terra.com.br/infograficos/selecoes-copa-2014/img/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28975" y="37528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17</xdr:row>
      <xdr:rowOff>28575</xdr:rowOff>
    </xdr:from>
    <xdr:to>
      <xdr:col>9</xdr:col>
      <xdr:colOff>57150</xdr:colOff>
      <xdr:row>17</xdr:row>
      <xdr:rowOff>123825</xdr:rowOff>
    </xdr:to>
    <xdr:pic>
      <xdr:nvPicPr>
        <xdr:cNvPr id="25" name="Picture 8" descr="http://esportes.terra.com.br/infograficos/selecoes-copa-2014/img/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28975" y="42386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15</xdr:row>
      <xdr:rowOff>28575</xdr:rowOff>
    </xdr:from>
    <xdr:to>
      <xdr:col>2</xdr:col>
      <xdr:colOff>228600</xdr:colOff>
      <xdr:row>15</xdr:row>
      <xdr:rowOff>123825</xdr:rowOff>
    </xdr:to>
    <xdr:pic>
      <xdr:nvPicPr>
        <xdr:cNvPr id="26" name="Picture 4" descr="http://esportes.terra.com.br/infograficos/selecoes-copa-2014/img/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" y="39147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</xdr:row>
      <xdr:rowOff>28575</xdr:rowOff>
    </xdr:from>
    <xdr:to>
      <xdr:col>2</xdr:col>
      <xdr:colOff>228600</xdr:colOff>
      <xdr:row>16</xdr:row>
      <xdr:rowOff>123825</xdr:rowOff>
    </xdr:to>
    <xdr:pic>
      <xdr:nvPicPr>
        <xdr:cNvPr id="27" name="Picture 4" descr="http://esportes.terra.com.br/infograficos/selecoes-copa-2014/img/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" y="40767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13</xdr:row>
      <xdr:rowOff>28575</xdr:rowOff>
    </xdr:from>
    <xdr:to>
      <xdr:col>9</xdr:col>
      <xdr:colOff>57150</xdr:colOff>
      <xdr:row>13</xdr:row>
      <xdr:rowOff>123825</xdr:rowOff>
    </xdr:to>
    <xdr:pic>
      <xdr:nvPicPr>
        <xdr:cNvPr id="28" name="Picture 4" descr="http://esportes.terra.com.br/infograficos/selecoes-copa-2014/img/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28975" y="35909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17</xdr:row>
      <xdr:rowOff>28575</xdr:rowOff>
    </xdr:from>
    <xdr:to>
      <xdr:col>2</xdr:col>
      <xdr:colOff>228600</xdr:colOff>
      <xdr:row>17</xdr:row>
      <xdr:rowOff>123825</xdr:rowOff>
    </xdr:to>
    <xdr:pic>
      <xdr:nvPicPr>
        <xdr:cNvPr id="29" name="Picture 20" descr="http://esportes.terra.com.br/infograficos/selecoes-copa-2014/img/1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42386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28575</xdr:rowOff>
    </xdr:from>
    <xdr:to>
      <xdr:col>9</xdr:col>
      <xdr:colOff>57150</xdr:colOff>
      <xdr:row>12</xdr:row>
      <xdr:rowOff>123825</xdr:rowOff>
    </xdr:to>
    <xdr:pic>
      <xdr:nvPicPr>
        <xdr:cNvPr id="30" name="Picture 20" descr="http://esportes.terra.com.br/infograficos/selecoes-copa-2014/img/1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28975" y="34290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28575</xdr:rowOff>
    </xdr:from>
    <xdr:to>
      <xdr:col>9</xdr:col>
      <xdr:colOff>57150</xdr:colOff>
      <xdr:row>15</xdr:row>
      <xdr:rowOff>123825</xdr:rowOff>
    </xdr:to>
    <xdr:pic>
      <xdr:nvPicPr>
        <xdr:cNvPr id="31" name="Picture 20" descr="http://esportes.terra.com.br/infograficos/selecoes-copa-2014/img/1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28975" y="39147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15</xdr:row>
      <xdr:rowOff>28575</xdr:rowOff>
    </xdr:from>
    <xdr:to>
      <xdr:col>12</xdr:col>
      <xdr:colOff>209550</xdr:colOff>
      <xdr:row>15</xdr:row>
      <xdr:rowOff>123825</xdr:rowOff>
    </xdr:to>
    <xdr:pic>
      <xdr:nvPicPr>
        <xdr:cNvPr id="32" name="Picture 20" descr="http://esportes.terra.com.br/infograficos/selecoes-copa-2014/img/1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39147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14</xdr:row>
      <xdr:rowOff>28575</xdr:rowOff>
    </xdr:from>
    <xdr:to>
      <xdr:col>12</xdr:col>
      <xdr:colOff>209550</xdr:colOff>
      <xdr:row>14</xdr:row>
      <xdr:rowOff>123825</xdr:rowOff>
    </xdr:to>
    <xdr:pic>
      <xdr:nvPicPr>
        <xdr:cNvPr id="33" name="Picture 15" descr="http://esportes.terra.com.br/infograficos/selecoes-copa-2014/img/1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62625" y="37528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16</xdr:row>
      <xdr:rowOff>28575</xdr:rowOff>
    </xdr:from>
    <xdr:to>
      <xdr:col>12</xdr:col>
      <xdr:colOff>209550</xdr:colOff>
      <xdr:row>16</xdr:row>
      <xdr:rowOff>123825</xdr:rowOff>
    </xdr:to>
    <xdr:pic>
      <xdr:nvPicPr>
        <xdr:cNvPr id="34" name="Picture 8" descr="http://esportes.terra.com.br/infograficos/selecoes-copa-2014/img/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62625" y="40767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17</xdr:row>
      <xdr:rowOff>28575</xdr:rowOff>
    </xdr:from>
    <xdr:to>
      <xdr:col>12</xdr:col>
      <xdr:colOff>209550</xdr:colOff>
      <xdr:row>17</xdr:row>
      <xdr:rowOff>123825</xdr:rowOff>
    </xdr:to>
    <xdr:pic>
      <xdr:nvPicPr>
        <xdr:cNvPr id="35" name="Picture 4" descr="http://esportes.terra.com.br/infograficos/selecoes-copa-2014/img/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62625" y="42386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20</xdr:row>
      <xdr:rowOff>28575</xdr:rowOff>
    </xdr:from>
    <xdr:to>
      <xdr:col>2</xdr:col>
      <xdr:colOff>228600</xdr:colOff>
      <xdr:row>20</xdr:row>
      <xdr:rowOff>123825</xdr:rowOff>
    </xdr:to>
    <xdr:pic>
      <xdr:nvPicPr>
        <xdr:cNvPr id="36" name="Picture 10" descr="http://esportes.terra.com.br/infograficos/selecoes-copa-2014/img/8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4752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22</xdr:row>
      <xdr:rowOff>28575</xdr:rowOff>
    </xdr:from>
    <xdr:to>
      <xdr:col>2</xdr:col>
      <xdr:colOff>228600</xdr:colOff>
      <xdr:row>22</xdr:row>
      <xdr:rowOff>123825</xdr:rowOff>
    </xdr:to>
    <xdr:pic>
      <xdr:nvPicPr>
        <xdr:cNvPr id="37" name="Picture 10" descr="http://esportes.terra.com.br/infograficos/selecoes-copa-2014/img/8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50768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24</xdr:row>
      <xdr:rowOff>28575</xdr:rowOff>
    </xdr:from>
    <xdr:to>
      <xdr:col>9</xdr:col>
      <xdr:colOff>57150</xdr:colOff>
      <xdr:row>24</xdr:row>
      <xdr:rowOff>123825</xdr:rowOff>
    </xdr:to>
    <xdr:pic>
      <xdr:nvPicPr>
        <xdr:cNvPr id="38" name="Picture 10" descr="http://esportes.terra.com.br/infograficos/selecoes-copa-2014/img/8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28975" y="54006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22</xdr:row>
      <xdr:rowOff>28575</xdr:rowOff>
    </xdr:from>
    <xdr:to>
      <xdr:col>12</xdr:col>
      <xdr:colOff>209550</xdr:colOff>
      <xdr:row>22</xdr:row>
      <xdr:rowOff>123825</xdr:rowOff>
    </xdr:to>
    <xdr:pic>
      <xdr:nvPicPr>
        <xdr:cNvPr id="39" name="Picture 10" descr="http://esportes.terra.com.br/infograficos/selecoes-copa-2014/img/8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62625" y="50768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21</xdr:row>
      <xdr:rowOff>28575</xdr:rowOff>
    </xdr:from>
    <xdr:to>
      <xdr:col>2</xdr:col>
      <xdr:colOff>228600</xdr:colOff>
      <xdr:row>21</xdr:row>
      <xdr:rowOff>123825</xdr:rowOff>
    </xdr:to>
    <xdr:pic>
      <xdr:nvPicPr>
        <xdr:cNvPr id="40" name="Picture 9" descr="http://esportes.terra.com.br/infograficos/selecoes-copa-2014/img/costadomarfim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28700" y="49149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22</xdr:row>
      <xdr:rowOff>28575</xdr:rowOff>
    </xdr:from>
    <xdr:to>
      <xdr:col>9</xdr:col>
      <xdr:colOff>57150</xdr:colOff>
      <xdr:row>22</xdr:row>
      <xdr:rowOff>123825</xdr:rowOff>
    </xdr:to>
    <xdr:pic>
      <xdr:nvPicPr>
        <xdr:cNvPr id="41" name="Picture 9" descr="http://esportes.terra.com.br/infograficos/selecoes-copa-2014/img/costadomarfim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28975" y="50768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25</xdr:row>
      <xdr:rowOff>28575</xdr:rowOff>
    </xdr:from>
    <xdr:to>
      <xdr:col>9</xdr:col>
      <xdr:colOff>57150</xdr:colOff>
      <xdr:row>25</xdr:row>
      <xdr:rowOff>123825</xdr:rowOff>
    </xdr:to>
    <xdr:pic>
      <xdr:nvPicPr>
        <xdr:cNvPr id="42" name="Picture 9" descr="http://esportes.terra.com.br/infograficos/selecoes-copa-2014/img/costadomarfim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28975" y="55626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24</xdr:row>
      <xdr:rowOff>47625</xdr:rowOff>
    </xdr:from>
    <xdr:to>
      <xdr:col>12</xdr:col>
      <xdr:colOff>209550</xdr:colOff>
      <xdr:row>24</xdr:row>
      <xdr:rowOff>142875</xdr:rowOff>
    </xdr:to>
    <xdr:pic>
      <xdr:nvPicPr>
        <xdr:cNvPr id="43" name="Picture 9" descr="http://esportes.terra.com.br/infograficos/selecoes-copa-2014/img/costadomarfim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62625" y="54197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23</xdr:row>
      <xdr:rowOff>28575</xdr:rowOff>
    </xdr:from>
    <xdr:to>
      <xdr:col>2</xdr:col>
      <xdr:colOff>228600</xdr:colOff>
      <xdr:row>23</xdr:row>
      <xdr:rowOff>123825</xdr:rowOff>
    </xdr:to>
    <xdr:pic>
      <xdr:nvPicPr>
        <xdr:cNvPr id="44" name="Picture 25" descr="http://esportes.terra.com.br/infograficos/selecoes-copa-2014/img/1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28700" y="52387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28575</xdr:rowOff>
    </xdr:from>
    <xdr:to>
      <xdr:col>2</xdr:col>
      <xdr:colOff>228600</xdr:colOff>
      <xdr:row>24</xdr:row>
      <xdr:rowOff>123825</xdr:rowOff>
    </xdr:to>
    <xdr:pic>
      <xdr:nvPicPr>
        <xdr:cNvPr id="45" name="Picture 25" descr="http://esportes.terra.com.br/infograficos/selecoes-copa-2014/img/1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28700" y="54006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21</xdr:row>
      <xdr:rowOff>28575</xdr:rowOff>
    </xdr:from>
    <xdr:to>
      <xdr:col>9</xdr:col>
      <xdr:colOff>57150</xdr:colOff>
      <xdr:row>21</xdr:row>
      <xdr:rowOff>123825</xdr:rowOff>
    </xdr:to>
    <xdr:pic>
      <xdr:nvPicPr>
        <xdr:cNvPr id="46" name="Picture 25" descr="http://esportes.terra.com.br/infograficos/selecoes-copa-2014/img/1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28975" y="49149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25</xdr:row>
      <xdr:rowOff>28575</xdr:rowOff>
    </xdr:from>
    <xdr:to>
      <xdr:col>12</xdr:col>
      <xdr:colOff>209550</xdr:colOff>
      <xdr:row>25</xdr:row>
      <xdr:rowOff>123825</xdr:rowOff>
    </xdr:to>
    <xdr:pic>
      <xdr:nvPicPr>
        <xdr:cNvPr id="47" name="Picture 25" descr="http://esportes.terra.com.br/infograficos/selecoes-copa-2014/img/1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62625" y="55626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25</xdr:row>
      <xdr:rowOff>28575</xdr:rowOff>
    </xdr:from>
    <xdr:to>
      <xdr:col>2</xdr:col>
      <xdr:colOff>228600</xdr:colOff>
      <xdr:row>25</xdr:row>
      <xdr:rowOff>123825</xdr:rowOff>
    </xdr:to>
    <xdr:pic>
      <xdr:nvPicPr>
        <xdr:cNvPr id="48" name="Picture 19" descr="http://esportes.terra.com.br/infograficos/selecoes-copa-2014/img/greci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28700" y="55626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20</xdr:row>
      <xdr:rowOff>28575</xdr:rowOff>
    </xdr:from>
    <xdr:to>
      <xdr:col>9</xdr:col>
      <xdr:colOff>57150</xdr:colOff>
      <xdr:row>20</xdr:row>
      <xdr:rowOff>123825</xdr:rowOff>
    </xdr:to>
    <xdr:pic>
      <xdr:nvPicPr>
        <xdr:cNvPr id="49" name="Picture 19" descr="http://esportes.terra.com.br/infograficos/selecoes-copa-2014/img/greci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28975" y="47529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23</xdr:row>
      <xdr:rowOff>28575</xdr:rowOff>
    </xdr:from>
    <xdr:to>
      <xdr:col>9</xdr:col>
      <xdr:colOff>57150</xdr:colOff>
      <xdr:row>23</xdr:row>
      <xdr:rowOff>123825</xdr:rowOff>
    </xdr:to>
    <xdr:pic>
      <xdr:nvPicPr>
        <xdr:cNvPr id="50" name="Picture 19" descr="http://esportes.terra.com.br/infograficos/selecoes-copa-2014/img/greci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28975" y="52387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23</xdr:row>
      <xdr:rowOff>28575</xdr:rowOff>
    </xdr:from>
    <xdr:to>
      <xdr:col>12</xdr:col>
      <xdr:colOff>209550</xdr:colOff>
      <xdr:row>23</xdr:row>
      <xdr:rowOff>123825</xdr:rowOff>
    </xdr:to>
    <xdr:pic>
      <xdr:nvPicPr>
        <xdr:cNvPr id="51" name="Picture 19" descr="http://esportes.terra.com.br/infograficos/selecoes-copa-2014/img/greci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62625" y="52387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28</xdr:row>
      <xdr:rowOff>28575</xdr:rowOff>
    </xdr:from>
    <xdr:to>
      <xdr:col>2</xdr:col>
      <xdr:colOff>228600</xdr:colOff>
      <xdr:row>28</xdr:row>
      <xdr:rowOff>123825</xdr:rowOff>
    </xdr:to>
    <xdr:pic>
      <xdr:nvPicPr>
        <xdr:cNvPr id="52" name="Picture 33" descr="Bandeira do Uruguai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028700" y="6086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30</xdr:row>
      <xdr:rowOff>28575</xdr:rowOff>
    </xdr:from>
    <xdr:to>
      <xdr:col>2</xdr:col>
      <xdr:colOff>228600</xdr:colOff>
      <xdr:row>30</xdr:row>
      <xdr:rowOff>123825</xdr:rowOff>
    </xdr:to>
    <xdr:pic>
      <xdr:nvPicPr>
        <xdr:cNvPr id="53" name="Picture 33" descr="Bandeira do Uruguai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028700" y="64103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32</xdr:row>
      <xdr:rowOff>28575</xdr:rowOff>
    </xdr:from>
    <xdr:to>
      <xdr:col>9</xdr:col>
      <xdr:colOff>57150</xdr:colOff>
      <xdr:row>32</xdr:row>
      <xdr:rowOff>123825</xdr:rowOff>
    </xdr:to>
    <xdr:pic>
      <xdr:nvPicPr>
        <xdr:cNvPr id="54" name="Picture 33" descr="Bandeira do Uruguai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228975" y="67341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30</xdr:row>
      <xdr:rowOff>28575</xdr:rowOff>
    </xdr:from>
    <xdr:to>
      <xdr:col>12</xdr:col>
      <xdr:colOff>209550</xdr:colOff>
      <xdr:row>30</xdr:row>
      <xdr:rowOff>123825</xdr:rowOff>
    </xdr:to>
    <xdr:pic>
      <xdr:nvPicPr>
        <xdr:cNvPr id="55" name="Picture 33" descr="Bandeira do Uruguai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762625" y="64103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29</xdr:row>
      <xdr:rowOff>28575</xdr:rowOff>
    </xdr:from>
    <xdr:to>
      <xdr:col>2</xdr:col>
      <xdr:colOff>228600</xdr:colOff>
      <xdr:row>29</xdr:row>
      <xdr:rowOff>123825</xdr:rowOff>
    </xdr:to>
    <xdr:pic>
      <xdr:nvPicPr>
        <xdr:cNvPr id="56" name="Picture 22" descr="http://esportes.terra.com.br/infograficos/selecoes-copa-2014/img/16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62484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30</xdr:row>
      <xdr:rowOff>28575</xdr:rowOff>
    </xdr:from>
    <xdr:to>
      <xdr:col>9</xdr:col>
      <xdr:colOff>57150</xdr:colOff>
      <xdr:row>30</xdr:row>
      <xdr:rowOff>123825</xdr:rowOff>
    </xdr:to>
    <xdr:pic>
      <xdr:nvPicPr>
        <xdr:cNvPr id="57" name="Picture 22" descr="http://esportes.terra.com.br/infograficos/selecoes-copa-2014/img/16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28975" y="64103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33</xdr:row>
      <xdr:rowOff>28575</xdr:rowOff>
    </xdr:from>
    <xdr:to>
      <xdr:col>9</xdr:col>
      <xdr:colOff>57150</xdr:colOff>
      <xdr:row>33</xdr:row>
      <xdr:rowOff>123825</xdr:rowOff>
    </xdr:to>
    <xdr:pic>
      <xdr:nvPicPr>
        <xdr:cNvPr id="58" name="Picture 22" descr="http://esportes.terra.com.br/infograficos/selecoes-copa-2014/img/16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28975" y="68961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32</xdr:row>
      <xdr:rowOff>28575</xdr:rowOff>
    </xdr:from>
    <xdr:to>
      <xdr:col>12</xdr:col>
      <xdr:colOff>209550</xdr:colOff>
      <xdr:row>32</xdr:row>
      <xdr:rowOff>123825</xdr:rowOff>
    </xdr:to>
    <xdr:pic>
      <xdr:nvPicPr>
        <xdr:cNvPr id="59" name="Picture 22" descr="http://esportes.terra.com.br/infograficos/selecoes-copa-2014/img/16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62625" y="67341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31</xdr:row>
      <xdr:rowOff>28575</xdr:rowOff>
    </xdr:from>
    <xdr:to>
      <xdr:col>2</xdr:col>
      <xdr:colOff>228600</xdr:colOff>
      <xdr:row>31</xdr:row>
      <xdr:rowOff>123825</xdr:rowOff>
    </xdr:to>
    <xdr:pic>
      <xdr:nvPicPr>
        <xdr:cNvPr id="60" name="Picture 24" descr="http://esportes.terra.com.br/infograficos/selecoes-copa-2014/img/18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28700" y="65722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32</xdr:row>
      <xdr:rowOff>28575</xdr:rowOff>
    </xdr:from>
    <xdr:to>
      <xdr:col>2</xdr:col>
      <xdr:colOff>228600</xdr:colOff>
      <xdr:row>32</xdr:row>
      <xdr:rowOff>123825</xdr:rowOff>
    </xdr:to>
    <xdr:pic>
      <xdr:nvPicPr>
        <xdr:cNvPr id="61" name="Picture 24" descr="http://esportes.terra.com.br/infograficos/selecoes-copa-2014/img/18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28700" y="67341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29</xdr:row>
      <xdr:rowOff>28575</xdr:rowOff>
    </xdr:from>
    <xdr:to>
      <xdr:col>9</xdr:col>
      <xdr:colOff>57150</xdr:colOff>
      <xdr:row>29</xdr:row>
      <xdr:rowOff>123825</xdr:rowOff>
    </xdr:to>
    <xdr:pic>
      <xdr:nvPicPr>
        <xdr:cNvPr id="62" name="Picture 24" descr="http://esportes.terra.com.br/infograficos/selecoes-copa-2014/img/18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28975" y="62484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33</xdr:row>
      <xdr:rowOff>28575</xdr:rowOff>
    </xdr:from>
    <xdr:to>
      <xdr:col>12</xdr:col>
      <xdr:colOff>209550</xdr:colOff>
      <xdr:row>33</xdr:row>
      <xdr:rowOff>123825</xdr:rowOff>
    </xdr:to>
    <xdr:pic>
      <xdr:nvPicPr>
        <xdr:cNvPr id="63" name="Picture 24" descr="http://esportes.terra.com.br/infograficos/selecoes-copa-2014/img/18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62625" y="68961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33</xdr:row>
      <xdr:rowOff>28575</xdr:rowOff>
    </xdr:from>
    <xdr:to>
      <xdr:col>2</xdr:col>
      <xdr:colOff>228600</xdr:colOff>
      <xdr:row>33</xdr:row>
      <xdr:rowOff>123825</xdr:rowOff>
    </xdr:to>
    <xdr:pic>
      <xdr:nvPicPr>
        <xdr:cNvPr id="64" name="Picture 12" descr="http://esportes.terra.com.br/infograficos/selecoes-copa-2014/img/1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28700" y="68961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28</xdr:row>
      <xdr:rowOff>28575</xdr:rowOff>
    </xdr:from>
    <xdr:to>
      <xdr:col>9</xdr:col>
      <xdr:colOff>57150</xdr:colOff>
      <xdr:row>28</xdr:row>
      <xdr:rowOff>123825</xdr:rowOff>
    </xdr:to>
    <xdr:pic>
      <xdr:nvPicPr>
        <xdr:cNvPr id="65" name="Picture 12" descr="http://esportes.terra.com.br/infograficos/selecoes-copa-2014/img/1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28975" y="60864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31</xdr:row>
      <xdr:rowOff>28575</xdr:rowOff>
    </xdr:from>
    <xdr:to>
      <xdr:col>9</xdr:col>
      <xdr:colOff>57150</xdr:colOff>
      <xdr:row>31</xdr:row>
      <xdr:rowOff>123825</xdr:rowOff>
    </xdr:to>
    <xdr:pic>
      <xdr:nvPicPr>
        <xdr:cNvPr id="66" name="Picture 12" descr="http://esportes.terra.com.br/infograficos/selecoes-copa-2014/img/1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28975" y="65722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31</xdr:row>
      <xdr:rowOff>28575</xdr:rowOff>
    </xdr:from>
    <xdr:to>
      <xdr:col>12</xdr:col>
      <xdr:colOff>209550</xdr:colOff>
      <xdr:row>31</xdr:row>
      <xdr:rowOff>123825</xdr:rowOff>
    </xdr:to>
    <xdr:pic>
      <xdr:nvPicPr>
        <xdr:cNvPr id="67" name="Picture 12" descr="http://esportes.terra.com.br/infograficos/selecoes-copa-2014/img/1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62625" y="65722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36</xdr:row>
      <xdr:rowOff>28575</xdr:rowOff>
    </xdr:from>
    <xdr:to>
      <xdr:col>2</xdr:col>
      <xdr:colOff>228600</xdr:colOff>
      <xdr:row>36</xdr:row>
      <xdr:rowOff>123825</xdr:rowOff>
    </xdr:to>
    <xdr:pic>
      <xdr:nvPicPr>
        <xdr:cNvPr id="68" name="Picture 30" descr="http://esportes.terra.com.br/infograficos/selecoes-copa-2014/img/21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28700" y="74104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38</xdr:row>
      <xdr:rowOff>28575</xdr:rowOff>
    </xdr:from>
    <xdr:to>
      <xdr:col>2</xdr:col>
      <xdr:colOff>228600</xdr:colOff>
      <xdr:row>38</xdr:row>
      <xdr:rowOff>123825</xdr:rowOff>
    </xdr:to>
    <xdr:pic>
      <xdr:nvPicPr>
        <xdr:cNvPr id="69" name="Picture 30" descr="http://esportes.terra.com.br/infograficos/selecoes-copa-2014/img/21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28700" y="77343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40</xdr:row>
      <xdr:rowOff>28575</xdr:rowOff>
    </xdr:from>
    <xdr:to>
      <xdr:col>9</xdr:col>
      <xdr:colOff>57150</xdr:colOff>
      <xdr:row>40</xdr:row>
      <xdr:rowOff>123825</xdr:rowOff>
    </xdr:to>
    <xdr:pic>
      <xdr:nvPicPr>
        <xdr:cNvPr id="70" name="Picture 30" descr="http://esportes.terra.com.br/infograficos/selecoes-copa-2014/img/21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28975" y="80581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37</xdr:row>
      <xdr:rowOff>28575</xdr:rowOff>
    </xdr:from>
    <xdr:to>
      <xdr:col>2</xdr:col>
      <xdr:colOff>228600</xdr:colOff>
      <xdr:row>37</xdr:row>
      <xdr:rowOff>123825</xdr:rowOff>
    </xdr:to>
    <xdr:pic>
      <xdr:nvPicPr>
        <xdr:cNvPr id="71" name="Picture 17" descr="http://esportes.terra.com.br/infograficos/selecoes-copa-2014/img/franca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28700" y="75723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38</xdr:row>
      <xdr:rowOff>28575</xdr:rowOff>
    </xdr:from>
    <xdr:to>
      <xdr:col>9</xdr:col>
      <xdr:colOff>57150</xdr:colOff>
      <xdr:row>38</xdr:row>
      <xdr:rowOff>123825</xdr:rowOff>
    </xdr:to>
    <xdr:pic>
      <xdr:nvPicPr>
        <xdr:cNvPr id="72" name="Picture 17" descr="http://esportes.terra.com.br/infograficos/selecoes-copa-2014/img/franca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28975" y="77343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41</xdr:row>
      <xdr:rowOff>28575</xdr:rowOff>
    </xdr:from>
    <xdr:to>
      <xdr:col>9</xdr:col>
      <xdr:colOff>57150</xdr:colOff>
      <xdr:row>41</xdr:row>
      <xdr:rowOff>123825</xdr:rowOff>
    </xdr:to>
    <xdr:pic>
      <xdr:nvPicPr>
        <xdr:cNvPr id="73" name="Picture 17" descr="http://esportes.terra.com.br/infograficos/selecoes-copa-2014/img/franca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28975" y="82200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40</xdr:row>
      <xdr:rowOff>28575</xdr:rowOff>
    </xdr:from>
    <xdr:to>
      <xdr:col>12</xdr:col>
      <xdr:colOff>209550</xdr:colOff>
      <xdr:row>40</xdr:row>
      <xdr:rowOff>123825</xdr:rowOff>
    </xdr:to>
    <xdr:pic>
      <xdr:nvPicPr>
        <xdr:cNvPr id="74" name="Picture 17" descr="http://esportes.terra.com.br/infograficos/selecoes-copa-2014/img/franca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62625" y="80581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38</xdr:row>
      <xdr:rowOff>28575</xdr:rowOff>
    </xdr:from>
    <xdr:to>
      <xdr:col>12</xdr:col>
      <xdr:colOff>209550</xdr:colOff>
      <xdr:row>38</xdr:row>
      <xdr:rowOff>123825</xdr:rowOff>
    </xdr:to>
    <xdr:pic>
      <xdr:nvPicPr>
        <xdr:cNvPr id="75" name="Picture 30" descr="http://esportes.terra.com.br/infograficos/selecoes-copa-2014/img/21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62625" y="77343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39</xdr:row>
      <xdr:rowOff>28575</xdr:rowOff>
    </xdr:from>
    <xdr:to>
      <xdr:col>2</xdr:col>
      <xdr:colOff>228600</xdr:colOff>
      <xdr:row>39</xdr:row>
      <xdr:rowOff>123825</xdr:rowOff>
    </xdr:to>
    <xdr:pic>
      <xdr:nvPicPr>
        <xdr:cNvPr id="76" name="Picture 21" descr="http://esportes.terra.com.br/infograficos/selecoes-copa-2014/img/15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28700" y="78962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40</xdr:row>
      <xdr:rowOff>28575</xdr:rowOff>
    </xdr:from>
    <xdr:to>
      <xdr:col>2</xdr:col>
      <xdr:colOff>228600</xdr:colOff>
      <xdr:row>40</xdr:row>
      <xdr:rowOff>123825</xdr:rowOff>
    </xdr:to>
    <xdr:pic>
      <xdr:nvPicPr>
        <xdr:cNvPr id="77" name="Picture 21" descr="http://esportes.terra.com.br/infograficos/selecoes-copa-2014/img/15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28700" y="80581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37</xdr:row>
      <xdr:rowOff>28575</xdr:rowOff>
    </xdr:from>
    <xdr:to>
      <xdr:col>9</xdr:col>
      <xdr:colOff>57150</xdr:colOff>
      <xdr:row>37</xdr:row>
      <xdr:rowOff>123825</xdr:rowOff>
    </xdr:to>
    <xdr:pic>
      <xdr:nvPicPr>
        <xdr:cNvPr id="78" name="Picture 21" descr="http://esportes.terra.com.br/infograficos/selecoes-copa-2014/img/15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28975" y="75723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41</xdr:row>
      <xdr:rowOff>28575</xdr:rowOff>
    </xdr:from>
    <xdr:to>
      <xdr:col>12</xdr:col>
      <xdr:colOff>209550</xdr:colOff>
      <xdr:row>41</xdr:row>
      <xdr:rowOff>123825</xdr:rowOff>
    </xdr:to>
    <xdr:pic>
      <xdr:nvPicPr>
        <xdr:cNvPr id="79" name="Picture 21" descr="http://esportes.terra.com.br/infograficos/selecoes-copa-2014/img/15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62625" y="82200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41</xdr:row>
      <xdr:rowOff>28575</xdr:rowOff>
    </xdr:from>
    <xdr:to>
      <xdr:col>2</xdr:col>
      <xdr:colOff>228600</xdr:colOff>
      <xdr:row>41</xdr:row>
      <xdr:rowOff>123825</xdr:rowOff>
    </xdr:to>
    <xdr:pic>
      <xdr:nvPicPr>
        <xdr:cNvPr id="80" name="Picture 14" descr="http://esportes.terra.com.br/infograficos/selecoes-copa-2014/img/1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28700" y="82200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36</xdr:row>
      <xdr:rowOff>28575</xdr:rowOff>
    </xdr:from>
    <xdr:to>
      <xdr:col>9</xdr:col>
      <xdr:colOff>57150</xdr:colOff>
      <xdr:row>36</xdr:row>
      <xdr:rowOff>123825</xdr:rowOff>
    </xdr:to>
    <xdr:pic>
      <xdr:nvPicPr>
        <xdr:cNvPr id="81" name="Picture 14" descr="http://esportes.terra.com.br/infograficos/selecoes-copa-2014/img/1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228975" y="74104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39</xdr:row>
      <xdr:rowOff>28575</xdr:rowOff>
    </xdr:from>
    <xdr:to>
      <xdr:col>9</xdr:col>
      <xdr:colOff>57150</xdr:colOff>
      <xdr:row>39</xdr:row>
      <xdr:rowOff>123825</xdr:rowOff>
    </xdr:to>
    <xdr:pic>
      <xdr:nvPicPr>
        <xdr:cNvPr id="82" name="Picture 14" descr="http://esportes.terra.com.br/infograficos/selecoes-copa-2014/img/1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228975" y="78962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39</xdr:row>
      <xdr:rowOff>28575</xdr:rowOff>
    </xdr:from>
    <xdr:to>
      <xdr:col>12</xdr:col>
      <xdr:colOff>209550</xdr:colOff>
      <xdr:row>39</xdr:row>
      <xdr:rowOff>123825</xdr:rowOff>
    </xdr:to>
    <xdr:pic>
      <xdr:nvPicPr>
        <xdr:cNvPr id="83" name="Picture 14" descr="http://esportes.terra.com.br/infograficos/selecoes-copa-2014/img/1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762625" y="78962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44</xdr:row>
      <xdr:rowOff>28575</xdr:rowOff>
    </xdr:from>
    <xdr:to>
      <xdr:col>2</xdr:col>
      <xdr:colOff>228600</xdr:colOff>
      <xdr:row>44</xdr:row>
      <xdr:rowOff>123825</xdr:rowOff>
    </xdr:to>
    <xdr:pic>
      <xdr:nvPicPr>
        <xdr:cNvPr id="84" name="Picture 3" descr="http://esportes.terra.com.br/infograficos/selecoes-copa-2014/img/2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28700" y="87439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46</xdr:row>
      <xdr:rowOff>28575</xdr:rowOff>
    </xdr:from>
    <xdr:to>
      <xdr:col>2</xdr:col>
      <xdr:colOff>228600</xdr:colOff>
      <xdr:row>46</xdr:row>
      <xdr:rowOff>123825</xdr:rowOff>
    </xdr:to>
    <xdr:pic>
      <xdr:nvPicPr>
        <xdr:cNvPr id="85" name="Picture 3" descr="http://esportes.terra.com.br/infograficos/selecoes-copa-2014/img/2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28700" y="90678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48</xdr:row>
      <xdr:rowOff>28575</xdr:rowOff>
    </xdr:from>
    <xdr:to>
      <xdr:col>9</xdr:col>
      <xdr:colOff>57150</xdr:colOff>
      <xdr:row>48</xdr:row>
      <xdr:rowOff>123825</xdr:rowOff>
    </xdr:to>
    <xdr:pic>
      <xdr:nvPicPr>
        <xdr:cNvPr id="86" name="Picture 3" descr="http://esportes.terra.com.br/infograficos/selecoes-copa-2014/img/2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28975" y="93916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46</xdr:row>
      <xdr:rowOff>28575</xdr:rowOff>
    </xdr:from>
    <xdr:to>
      <xdr:col>12</xdr:col>
      <xdr:colOff>209550</xdr:colOff>
      <xdr:row>46</xdr:row>
      <xdr:rowOff>123825</xdr:rowOff>
    </xdr:to>
    <xdr:pic>
      <xdr:nvPicPr>
        <xdr:cNvPr id="87" name="Picture 3" descr="http://esportes.terra.com.br/infograficos/selecoes-copa-2014/img/2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62625" y="90678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45</xdr:row>
      <xdr:rowOff>28575</xdr:rowOff>
    </xdr:from>
    <xdr:to>
      <xdr:col>2</xdr:col>
      <xdr:colOff>228600</xdr:colOff>
      <xdr:row>45</xdr:row>
      <xdr:rowOff>123825</xdr:rowOff>
    </xdr:to>
    <xdr:pic>
      <xdr:nvPicPr>
        <xdr:cNvPr id="88" name="Picture 23" descr="http://esportes.terra.com.br/infograficos/selecoes-copa-2014/img/17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28700" y="89058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46</xdr:row>
      <xdr:rowOff>28575</xdr:rowOff>
    </xdr:from>
    <xdr:to>
      <xdr:col>9</xdr:col>
      <xdr:colOff>57150</xdr:colOff>
      <xdr:row>46</xdr:row>
      <xdr:rowOff>123825</xdr:rowOff>
    </xdr:to>
    <xdr:pic>
      <xdr:nvPicPr>
        <xdr:cNvPr id="89" name="Picture 23" descr="http://esportes.terra.com.br/infograficos/selecoes-copa-2014/img/17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228975" y="90678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49</xdr:row>
      <xdr:rowOff>28575</xdr:rowOff>
    </xdr:from>
    <xdr:to>
      <xdr:col>9</xdr:col>
      <xdr:colOff>57150</xdr:colOff>
      <xdr:row>49</xdr:row>
      <xdr:rowOff>123825</xdr:rowOff>
    </xdr:to>
    <xdr:pic>
      <xdr:nvPicPr>
        <xdr:cNvPr id="90" name="Picture 23" descr="http://esportes.terra.com.br/infograficos/selecoes-copa-2014/img/17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228975" y="95535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48</xdr:row>
      <xdr:rowOff>28575</xdr:rowOff>
    </xdr:from>
    <xdr:to>
      <xdr:col>12</xdr:col>
      <xdr:colOff>209550</xdr:colOff>
      <xdr:row>48</xdr:row>
      <xdr:rowOff>123825</xdr:rowOff>
    </xdr:to>
    <xdr:pic>
      <xdr:nvPicPr>
        <xdr:cNvPr id="91" name="Picture 23" descr="http://esportes.terra.com.br/infograficos/selecoes-copa-2014/img/17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762625" y="93916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47</xdr:row>
      <xdr:rowOff>28575</xdr:rowOff>
    </xdr:from>
    <xdr:to>
      <xdr:col>2</xdr:col>
      <xdr:colOff>228600</xdr:colOff>
      <xdr:row>47</xdr:row>
      <xdr:rowOff>123825</xdr:rowOff>
    </xdr:to>
    <xdr:pic>
      <xdr:nvPicPr>
        <xdr:cNvPr id="92" name="Picture 27" descr="http://esportes.terra.com.br/infograficos/selecoes-copa-2014/img/nigeria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28700" y="92297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48</xdr:row>
      <xdr:rowOff>28575</xdr:rowOff>
    </xdr:from>
    <xdr:to>
      <xdr:col>2</xdr:col>
      <xdr:colOff>228600</xdr:colOff>
      <xdr:row>48</xdr:row>
      <xdr:rowOff>123825</xdr:rowOff>
    </xdr:to>
    <xdr:pic>
      <xdr:nvPicPr>
        <xdr:cNvPr id="93" name="Picture 27" descr="http://esportes.terra.com.br/infograficos/selecoes-copa-2014/img/nigeria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28700" y="93916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45</xdr:row>
      <xdr:rowOff>28575</xdr:rowOff>
    </xdr:from>
    <xdr:to>
      <xdr:col>9</xdr:col>
      <xdr:colOff>57150</xdr:colOff>
      <xdr:row>45</xdr:row>
      <xdr:rowOff>123825</xdr:rowOff>
    </xdr:to>
    <xdr:pic>
      <xdr:nvPicPr>
        <xdr:cNvPr id="94" name="Picture 27" descr="http://esportes.terra.com.br/infograficos/selecoes-copa-2014/img/nigeria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228975" y="89058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49</xdr:row>
      <xdr:rowOff>28575</xdr:rowOff>
    </xdr:from>
    <xdr:to>
      <xdr:col>12</xdr:col>
      <xdr:colOff>209550</xdr:colOff>
      <xdr:row>49</xdr:row>
      <xdr:rowOff>123825</xdr:rowOff>
    </xdr:to>
    <xdr:pic>
      <xdr:nvPicPr>
        <xdr:cNvPr id="95" name="Picture 27" descr="http://esportes.terra.com.br/infograficos/selecoes-copa-2014/img/nigeria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62625" y="95535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49</xdr:row>
      <xdr:rowOff>28575</xdr:rowOff>
    </xdr:from>
    <xdr:to>
      <xdr:col>2</xdr:col>
      <xdr:colOff>228600</xdr:colOff>
      <xdr:row>49</xdr:row>
      <xdr:rowOff>123825</xdr:rowOff>
    </xdr:to>
    <xdr:pic>
      <xdr:nvPicPr>
        <xdr:cNvPr id="96" name="Picture 6" descr="http://esportes.terra.com.br/infograficos/selecoes-copa-2014/img/5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28700" y="95535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44</xdr:row>
      <xdr:rowOff>28575</xdr:rowOff>
    </xdr:from>
    <xdr:to>
      <xdr:col>9</xdr:col>
      <xdr:colOff>57150</xdr:colOff>
      <xdr:row>44</xdr:row>
      <xdr:rowOff>123825</xdr:rowOff>
    </xdr:to>
    <xdr:pic>
      <xdr:nvPicPr>
        <xdr:cNvPr id="97" name="Picture 6" descr="http://esportes.terra.com.br/infograficos/selecoes-copa-2014/img/5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28975" y="87439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47</xdr:row>
      <xdr:rowOff>28575</xdr:rowOff>
    </xdr:from>
    <xdr:to>
      <xdr:col>9</xdr:col>
      <xdr:colOff>57150</xdr:colOff>
      <xdr:row>47</xdr:row>
      <xdr:rowOff>123825</xdr:rowOff>
    </xdr:to>
    <xdr:pic>
      <xdr:nvPicPr>
        <xdr:cNvPr id="98" name="Picture 6" descr="http://esportes.terra.com.br/infograficos/selecoes-copa-2014/img/5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28975" y="92297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47</xdr:row>
      <xdr:rowOff>28575</xdr:rowOff>
    </xdr:from>
    <xdr:to>
      <xdr:col>12</xdr:col>
      <xdr:colOff>209550</xdr:colOff>
      <xdr:row>47</xdr:row>
      <xdr:rowOff>123825</xdr:rowOff>
    </xdr:to>
    <xdr:pic>
      <xdr:nvPicPr>
        <xdr:cNvPr id="99" name="Picture 6" descr="http://esportes.terra.com.br/infograficos/selecoes-copa-2014/img/5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62625" y="92297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52</xdr:row>
      <xdr:rowOff>28575</xdr:rowOff>
    </xdr:from>
    <xdr:to>
      <xdr:col>2</xdr:col>
      <xdr:colOff>228600</xdr:colOff>
      <xdr:row>52</xdr:row>
      <xdr:rowOff>123825</xdr:rowOff>
    </xdr:to>
    <xdr:pic>
      <xdr:nvPicPr>
        <xdr:cNvPr id="100" name="Picture 1" descr="http://esportes.terra.com.br/infograficos/selecoes-copa-2014/img/1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28700" y="100774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54</xdr:row>
      <xdr:rowOff>28575</xdr:rowOff>
    </xdr:from>
    <xdr:to>
      <xdr:col>2</xdr:col>
      <xdr:colOff>228600</xdr:colOff>
      <xdr:row>54</xdr:row>
      <xdr:rowOff>123825</xdr:rowOff>
    </xdr:to>
    <xdr:pic>
      <xdr:nvPicPr>
        <xdr:cNvPr id="101" name="Picture 1" descr="http://esportes.terra.com.br/infograficos/selecoes-copa-2014/img/1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28700" y="104013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56</xdr:row>
      <xdr:rowOff>28575</xdr:rowOff>
    </xdr:from>
    <xdr:to>
      <xdr:col>9</xdr:col>
      <xdr:colOff>57150</xdr:colOff>
      <xdr:row>56</xdr:row>
      <xdr:rowOff>123825</xdr:rowOff>
    </xdr:to>
    <xdr:pic>
      <xdr:nvPicPr>
        <xdr:cNvPr id="102" name="Picture 1" descr="http://esportes.terra.com.br/infograficos/selecoes-copa-2014/img/1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28975" y="107251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54</xdr:row>
      <xdr:rowOff>28575</xdr:rowOff>
    </xdr:from>
    <xdr:to>
      <xdr:col>12</xdr:col>
      <xdr:colOff>209550</xdr:colOff>
      <xdr:row>54</xdr:row>
      <xdr:rowOff>123825</xdr:rowOff>
    </xdr:to>
    <xdr:pic>
      <xdr:nvPicPr>
        <xdr:cNvPr id="103" name="Picture 1" descr="http://esportes.terra.com.br/infograficos/selecoes-copa-2014/img/1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62625" y="104013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53</xdr:row>
      <xdr:rowOff>28575</xdr:rowOff>
    </xdr:from>
    <xdr:to>
      <xdr:col>2</xdr:col>
      <xdr:colOff>228600</xdr:colOff>
      <xdr:row>53</xdr:row>
      <xdr:rowOff>123825</xdr:rowOff>
    </xdr:to>
    <xdr:pic>
      <xdr:nvPicPr>
        <xdr:cNvPr id="104" name="Picture 18" descr="http://esportes.terra.com.br/infograficos/selecoes-copa-2014/img/gana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28700" y="102393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54</xdr:row>
      <xdr:rowOff>28575</xdr:rowOff>
    </xdr:from>
    <xdr:to>
      <xdr:col>9</xdr:col>
      <xdr:colOff>57150</xdr:colOff>
      <xdr:row>54</xdr:row>
      <xdr:rowOff>123825</xdr:rowOff>
    </xdr:to>
    <xdr:pic>
      <xdr:nvPicPr>
        <xdr:cNvPr id="105" name="Picture 18" descr="http://esportes.terra.com.br/infograficos/selecoes-copa-2014/img/gana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228975" y="104013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57</xdr:row>
      <xdr:rowOff>28575</xdr:rowOff>
    </xdr:from>
    <xdr:to>
      <xdr:col>9</xdr:col>
      <xdr:colOff>57150</xdr:colOff>
      <xdr:row>57</xdr:row>
      <xdr:rowOff>123825</xdr:rowOff>
    </xdr:to>
    <xdr:pic>
      <xdr:nvPicPr>
        <xdr:cNvPr id="106" name="Picture 18" descr="http://esportes.terra.com.br/infograficos/selecoes-copa-2014/img/gana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228975" y="108870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56</xdr:row>
      <xdr:rowOff>28575</xdr:rowOff>
    </xdr:from>
    <xdr:to>
      <xdr:col>12</xdr:col>
      <xdr:colOff>209550</xdr:colOff>
      <xdr:row>56</xdr:row>
      <xdr:rowOff>123825</xdr:rowOff>
    </xdr:to>
    <xdr:pic>
      <xdr:nvPicPr>
        <xdr:cNvPr id="107" name="Picture 18" descr="http://esportes.terra.com.br/infograficos/selecoes-copa-2014/img/gana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62625" y="107251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55</xdr:row>
      <xdr:rowOff>28575</xdr:rowOff>
    </xdr:from>
    <xdr:to>
      <xdr:col>2</xdr:col>
      <xdr:colOff>228600</xdr:colOff>
      <xdr:row>55</xdr:row>
      <xdr:rowOff>123825</xdr:rowOff>
    </xdr:to>
    <xdr:pic>
      <xdr:nvPicPr>
        <xdr:cNvPr id="108" name="Picture 16" descr="http://esportes.terra.com.br/infograficos/selecoes-copa-2014/img/13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28700" y="105632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56</xdr:row>
      <xdr:rowOff>28575</xdr:rowOff>
    </xdr:from>
    <xdr:to>
      <xdr:col>2</xdr:col>
      <xdr:colOff>228600</xdr:colOff>
      <xdr:row>56</xdr:row>
      <xdr:rowOff>123825</xdr:rowOff>
    </xdr:to>
    <xdr:pic>
      <xdr:nvPicPr>
        <xdr:cNvPr id="109" name="Picture 16" descr="http://esportes.terra.com.br/infograficos/selecoes-copa-2014/img/13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28700" y="107251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53</xdr:row>
      <xdr:rowOff>28575</xdr:rowOff>
    </xdr:from>
    <xdr:to>
      <xdr:col>9</xdr:col>
      <xdr:colOff>57150</xdr:colOff>
      <xdr:row>53</xdr:row>
      <xdr:rowOff>123825</xdr:rowOff>
    </xdr:to>
    <xdr:pic>
      <xdr:nvPicPr>
        <xdr:cNvPr id="110" name="Picture 16" descr="http://esportes.terra.com.br/infograficos/selecoes-copa-2014/img/13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228975" y="102393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57</xdr:row>
      <xdr:rowOff>28575</xdr:rowOff>
    </xdr:from>
    <xdr:to>
      <xdr:col>12</xdr:col>
      <xdr:colOff>209550</xdr:colOff>
      <xdr:row>57</xdr:row>
      <xdr:rowOff>123825</xdr:rowOff>
    </xdr:to>
    <xdr:pic>
      <xdr:nvPicPr>
        <xdr:cNvPr id="111" name="Picture 16" descr="http://esportes.terra.com.br/infograficos/selecoes-copa-2014/img/13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62625" y="108870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57</xdr:row>
      <xdr:rowOff>28575</xdr:rowOff>
    </xdr:from>
    <xdr:to>
      <xdr:col>2</xdr:col>
      <xdr:colOff>228600</xdr:colOff>
      <xdr:row>57</xdr:row>
      <xdr:rowOff>123825</xdr:rowOff>
    </xdr:to>
    <xdr:pic>
      <xdr:nvPicPr>
        <xdr:cNvPr id="112" name="Picture 28" descr="http://esportes.terra.com.br/infograficos/selecoes-copa-2014/img/portugal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28700" y="108870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52</xdr:row>
      <xdr:rowOff>28575</xdr:rowOff>
    </xdr:from>
    <xdr:to>
      <xdr:col>9</xdr:col>
      <xdr:colOff>57150</xdr:colOff>
      <xdr:row>52</xdr:row>
      <xdr:rowOff>123825</xdr:rowOff>
    </xdr:to>
    <xdr:pic>
      <xdr:nvPicPr>
        <xdr:cNvPr id="113" name="Picture 28" descr="http://esportes.terra.com.br/infograficos/selecoes-copa-2014/img/portugal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228975" y="100774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55</xdr:row>
      <xdr:rowOff>28575</xdr:rowOff>
    </xdr:from>
    <xdr:to>
      <xdr:col>9</xdr:col>
      <xdr:colOff>57150</xdr:colOff>
      <xdr:row>55</xdr:row>
      <xdr:rowOff>123825</xdr:rowOff>
    </xdr:to>
    <xdr:pic>
      <xdr:nvPicPr>
        <xdr:cNvPr id="114" name="Picture 28" descr="http://esportes.terra.com.br/infograficos/selecoes-copa-2014/img/portugal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228975" y="105632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55</xdr:row>
      <xdr:rowOff>28575</xdr:rowOff>
    </xdr:from>
    <xdr:to>
      <xdr:col>12</xdr:col>
      <xdr:colOff>209550</xdr:colOff>
      <xdr:row>55</xdr:row>
      <xdr:rowOff>123825</xdr:rowOff>
    </xdr:to>
    <xdr:pic>
      <xdr:nvPicPr>
        <xdr:cNvPr id="115" name="Picture 28" descr="http://esportes.terra.com.br/infograficos/selecoes-copa-2014/img/portugal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62625" y="105632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60</xdr:row>
      <xdr:rowOff>28575</xdr:rowOff>
    </xdr:from>
    <xdr:to>
      <xdr:col>2</xdr:col>
      <xdr:colOff>228600</xdr:colOff>
      <xdr:row>60</xdr:row>
      <xdr:rowOff>123825</xdr:rowOff>
    </xdr:to>
    <xdr:pic>
      <xdr:nvPicPr>
        <xdr:cNvPr id="116" name="Picture 5" descr="http://esportes.terra.com.br/infograficos/selecoes-copa-2014/img/4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28700" y="114014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62</xdr:row>
      <xdr:rowOff>28575</xdr:rowOff>
    </xdr:from>
    <xdr:to>
      <xdr:col>2</xdr:col>
      <xdr:colOff>228600</xdr:colOff>
      <xdr:row>62</xdr:row>
      <xdr:rowOff>123825</xdr:rowOff>
    </xdr:to>
    <xdr:pic>
      <xdr:nvPicPr>
        <xdr:cNvPr id="117" name="Picture 5" descr="http://esportes.terra.com.br/infograficos/selecoes-copa-2014/img/4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28700" y="117252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64</xdr:row>
      <xdr:rowOff>28575</xdr:rowOff>
    </xdr:from>
    <xdr:to>
      <xdr:col>9</xdr:col>
      <xdr:colOff>57150</xdr:colOff>
      <xdr:row>64</xdr:row>
      <xdr:rowOff>123825</xdr:rowOff>
    </xdr:to>
    <xdr:pic>
      <xdr:nvPicPr>
        <xdr:cNvPr id="118" name="Picture 5" descr="http://esportes.terra.com.br/infograficos/selecoes-copa-2014/img/4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228975" y="120491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62</xdr:row>
      <xdr:rowOff>28575</xdr:rowOff>
    </xdr:from>
    <xdr:to>
      <xdr:col>12</xdr:col>
      <xdr:colOff>209550</xdr:colOff>
      <xdr:row>62</xdr:row>
      <xdr:rowOff>123825</xdr:rowOff>
    </xdr:to>
    <xdr:pic>
      <xdr:nvPicPr>
        <xdr:cNvPr id="119" name="Picture 5" descr="http://esportes.terra.com.br/infograficos/selecoes-copa-2014/img/4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62625" y="117252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61</xdr:row>
      <xdr:rowOff>28575</xdr:rowOff>
    </xdr:from>
    <xdr:to>
      <xdr:col>2</xdr:col>
      <xdr:colOff>228600</xdr:colOff>
      <xdr:row>61</xdr:row>
      <xdr:rowOff>123825</xdr:rowOff>
    </xdr:to>
    <xdr:pic>
      <xdr:nvPicPr>
        <xdr:cNvPr id="120" name="Picture 29" descr="http://esportes.terra.com.br/infograficos/selecoes-copa-2014/img/20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28700" y="115633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62</xdr:row>
      <xdr:rowOff>28575</xdr:rowOff>
    </xdr:from>
    <xdr:to>
      <xdr:col>9</xdr:col>
      <xdr:colOff>57150</xdr:colOff>
      <xdr:row>62</xdr:row>
      <xdr:rowOff>123825</xdr:rowOff>
    </xdr:to>
    <xdr:pic>
      <xdr:nvPicPr>
        <xdr:cNvPr id="121" name="Picture 29" descr="http://esportes.terra.com.br/infograficos/selecoes-copa-2014/img/20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228975" y="1172527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65</xdr:row>
      <xdr:rowOff>28575</xdr:rowOff>
    </xdr:from>
    <xdr:to>
      <xdr:col>9</xdr:col>
      <xdr:colOff>57150</xdr:colOff>
      <xdr:row>65</xdr:row>
      <xdr:rowOff>123825</xdr:rowOff>
    </xdr:to>
    <xdr:pic>
      <xdr:nvPicPr>
        <xdr:cNvPr id="122" name="Picture 29" descr="http://esportes.terra.com.br/infograficos/selecoes-copa-2014/img/20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228975" y="122110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64</xdr:row>
      <xdr:rowOff>28575</xdr:rowOff>
    </xdr:from>
    <xdr:to>
      <xdr:col>12</xdr:col>
      <xdr:colOff>209550</xdr:colOff>
      <xdr:row>64</xdr:row>
      <xdr:rowOff>123825</xdr:rowOff>
    </xdr:to>
    <xdr:pic>
      <xdr:nvPicPr>
        <xdr:cNvPr id="123" name="Picture 29" descr="http://esportes.terra.com.br/infograficos/selecoes-copa-2014/img/20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62625" y="120491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65</xdr:row>
      <xdr:rowOff>28575</xdr:rowOff>
    </xdr:from>
    <xdr:to>
      <xdr:col>2</xdr:col>
      <xdr:colOff>228600</xdr:colOff>
      <xdr:row>65</xdr:row>
      <xdr:rowOff>123825</xdr:rowOff>
    </xdr:to>
    <xdr:pic>
      <xdr:nvPicPr>
        <xdr:cNvPr id="124" name="Picture 2" descr="http://esportes.terra.com.br/infograficos/selecoes-copa-2014/img/argelia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28700" y="122110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60</xdr:row>
      <xdr:rowOff>28575</xdr:rowOff>
    </xdr:from>
    <xdr:to>
      <xdr:col>9</xdr:col>
      <xdr:colOff>57150</xdr:colOff>
      <xdr:row>60</xdr:row>
      <xdr:rowOff>123825</xdr:rowOff>
    </xdr:to>
    <xdr:pic>
      <xdr:nvPicPr>
        <xdr:cNvPr id="125" name="Picture 2" descr="http://esportes.terra.com.br/infograficos/selecoes-copa-2014/img/argelia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228975" y="114014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63</xdr:row>
      <xdr:rowOff>28575</xdr:rowOff>
    </xdr:from>
    <xdr:to>
      <xdr:col>9</xdr:col>
      <xdr:colOff>57150</xdr:colOff>
      <xdr:row>63</xdr:row>
      <xdr:rowOff>123825</xdr:rowOff>
    </xdr:to>
    <xdr:pic>
      <xdr:nvPicPr>
        <xdr:cNvPr id="126" name="Picture 2" descr="http://esportes.terra.com.br/infograficos/selecoes-copa-2014/img/argelia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228975" y="118872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63</xdr:row>
      <xdr:rowOff>28575</xdr:rowOff>
    </xdr:from>
    <xdr:to>
      <xdr:col>13</xdr:col>
      <xdr:colOff>19050</xdr:colOff>
      <xdr:row>63</xdr:row>
      <xdr:rowOff>123825</xdr:rowOff>
    </xdr:to>
    <xdr:pic>
      <xdr:nvPicPr>
        <xdr:cNvPr id="127" name="Picture 2" descr="http://esportes.terra.com.br/infograficos/selecoes-copa-2014/img/argelia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81675" y="118872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63</xdr:row>
      <xdr:rowOff>28575</xdr:rowOff>
    </xdr:from>
    <xdr:to>
      <xdr:col>2</xdr:col>
      <xdr:colOff>228600</xdr:colOff>
      <xdr:row>63</xdr:row>
      <xdr:rowOff>123825</xdr:rowOff>
    </xdr:to>
    <xdr:pic>
      <xdr:nvPicPr>
        <xdr:cNvPr id="128" name="Picture 11" descr="http://esportes.terra.com.br/infograficos/selecoes-copa-2014/img/9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28700" y="1188720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64</xdr:row>
      <xdr:rowOff>28575</xdr:rowOff>
    </xdr:from>
    <xdr:to>
      <xdr:col>2</xdr:col>
      <xdr:colOff>228600</xdr:colOff>
      <xdr:row>64</xdr:row>
      <xdr:rowOff>123825</xdr:rowOff>
    </xdr:to>
    <xdr:pic>
      <xdr:nvPicPr>
        <xdr:cNvPr id="129" name="Picture 11" descr="http://esportes.terra.com.br/infograficos/selecoes-copa-2014/img/9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28700" y="12049125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61</xdr:row>
      <xdr:rowOff>28575</xdr:rowOff>
    </xdr:from>
    <xdr:to>
      <xdr:col>9</xdr:col>
      <xdr:colOff>57150</xdr:colOff>
      <xdr:row>61</xdr:row>
      <xdr:rowOff>123825</xdr:rowOff>
    </xdr:to>
    <xdr:pic>
      <xdr:nvPicPr>
        <xdr:cNvPr id="130" name="Picture 11" descr="http://esportes.terra.com.br/infograficos/selecoes-copa-2014/img/9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228975" y="115633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65</xdr:row>
      <xdr:rowOff>28575</xdr:rowOff>
    </xdr:from>
    <xdr:to>
      <xdr:col>12</xdr:col>
      <xdr:colOff>209550</xdr:colOff>
      <xdr:row>65</xdr:row>
      <xdr:rowOff>123825</xdr:rowOff>
    </xdr:to>
    <xdr:pic>
      <xdr:nvPicPr>
        <xdr:cNvPr id="131" name="Picture 11" descr="http://esportes.terra.com.br/infograficos/selecoes-copa-2014/img/9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62625" y="122110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annklauslima@gmail.com" TargetMode="External" /><Relationship Id="rId2" Type="http://schemas.openxmlformats.org/officeDocument/2006/relationships/hyperlink" Target="mailto:johannklauslima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showGridLines="0" tabSelected="1" showOutlineSymbols="0" zoomScaleSheetLayoutView="100" workbookViewId="0" topLeftCell="A1">
      <selection activeCell="F5" sqref="F5"/>
    </sheetView>
  </sheetViews>
  <sheetFormatPr defaultColWidth="9.140625" defaultRowHeight="12.75"/>
  <cols>
    <col min="1" max="1" width="9.28125" style="59" customWidth="1"/>
    <col min="2" max="2" width="5.421875" style="59" customWidth="1"/>
    <col min="3" max="3" width="18.00390625" style="4" customWidth="1"/>
    <col min="4" max="4" width="2.57421875" style="4" customWidth="1"/>
    <col min="5" max="5" width="2.57421875" style="2" customWidth="1"/>
    <col min="6" max="6" width="3.57421875" style="2" bestFit="1" customWidth="1"/>
    <col min="7" max="7" width="2.7109375" style="2" customWidth="1"/>
    <col min="8" max="8" width="3.57421875" style="2" customWidth="1"/>
    <col min="9" max="10" width="2.57421875" style="2" customWidth="1"/>
    <col min="11" max="11" width="18.00390625" style="4" customWidth="1"/>
    <col min="12" max="12" width="15.140625" style="5" bestFit="1" customWidth="1"/>
    <col min="13" max="13" width="3.140625" style="6" bestFit="1" customWidth="1"/>
    <col min="14" max="14" width="16.8515625" style="1" customWidth="1"/>
    <col min="15" max="22" width="3.421875" style="1" customWidth="1"/>
    <col min="23" max="23" width="13.140625" style="1" hidden="1" customWidth="1"/>
    <col min="24" max="24" width="0" style="1" hidden="1" customWidth="1"/>
    <col min="25" max="25" width="2.57421875" style="1" hidden="1" customWidth="1"/>
    <col min="26" max="26" width="13.00390625" style="1" hidden="1" customWidth="1"/>
    <col min="27" max="27" width="0.13671875" style="1" hidden="1" customWidth="1"/>
    <col min="28" max="16384" width="9.140625" style="1" customWidth="1"/>
  </cols>
  <sheetData>
    <row r="1" spans="1:23" ht="22.5" customHeight="1" thickBot="1" thickTop="1">
      <c r="A1" s="138" t="s">
        <v>62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N1" s="134" t="s">
        <v>55</v>
      </c>
      <c r="O1" s="135"/>
      <c r="P1" s="135"/>
      <c r="Q1" s="135"/>
      <c r="R1" s="135"/>
      <c r="S1" s="135"/>
      <c r="T1" s="135"/>
      <c r="U1" s="135"/>
      <c r="V1" s="122"/>
      <c r="W1" s="3"/>
    </row>
    <row r="2" spans="1:26" ht="13.5" thickTop="1">
      <c r="A2" s="137" t="s">
        <v>60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88"/>
      <c r="X2" s="89"/>
      <c r="Y2" s="89"/>
      <c r="Z2" s="89"/>
    </row>
    <row r="3" spans="1:26" ht="114" customHeight="1">
      <c r="A3" s="136" t="s">
        <v>79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88"/>
      <c r="X3" s="89"/>
      <c r="Y3" s="89"/>
      <c r="Z3" s="89"/>
    </row>
    <row r="4" spans="1:23" ht="12.75">
      <c r="A4" s="133" t="s">
        <v>38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23" t="s">
        <v>64</v>
      </c>
      <c r="M4" s="131"/>
      <c r="N4" s="131"/>
      <c r="O4" s="131"/>
      <c r="P4" s="131"/>
      <c r="Q4" s="131"/>
      <c r="R4" s="131"/>
      <c r="S4" s="131"/>
      <c r="T4" s="131"/>
      <c r="U4" s="131"/>
      <c r="V4" s="132"/>
      <c r="W4" s="3"/>
    </row>
    <row r="5" spans="1:23" ht="12.75">
      <c r="A5" s="117">
        <v>41802</v>
      </c>
      <c r="B5" s="113">
        <v>1700</v>
      </c>
      <c r="C5" s="76" t="str">
        <f>Jogo!A5</f>
        <v>Brasil</v>
      </c>
      <c r="D5" s="103"/>
      <c r="E5" s="17"/>
      <c r="F5" s="12"/>
      <c r="G5" s="13" t="s">
        <v>37</v>
      </c>
      <c r="H5" s="14"/>
      <c r="I5" s="15"/>
      <c r="J5" s="104"/>
      <c r="K5" s="77" t="str">
        <f>Jogo!A6</f>
        <v>Croácia</v>
      </c>
      <c r="L5" s="114" t="s">
        <v>65</v>
      </c>
      <c r="M5" s="16"/>
      <c r="N5" s="128" t="s">
        <v>29</v>
      </c>
      <c r="O5" s="128"/>
      <c r="P5" s="128"/>
      <c r="Q5" s="128"/>
      <c r="R5" s="128"/>
      <c r="S5" s="128"/>
      <c r="T5" s="128"/>
      <c r="U5" s="128"/>
      <c r="V5" s="129"/>
      <c r="W5" s="3"/>
    </row>
    <row r="6" spans="1:23" ht="12.75">
      <c r="A6" s="117">
        <v>41803</v>
      </c>
      <c r="B6" s="113">
        <v>1300</v>
      </c>
      <c r="C6" s="76" t="str">
        <f>Jogo!A7</f>
        <v>México</v>
      </c>
      <c r="D6" s="103"/>
      <c r="E6" s="17"/>
      <c r="F6" s="12"/>
      <c r="G6" s="13" t="s">
        <v>37</v>
      </c>
      <c r="H6" s="14"/>
      <c r="I6" s="15"/>
      <c r="J6" s="104"/>
      <c r="K6" s="77" t="str">
        <f>Jogo!A8</f>
        <v>Camarões</v>
      </c>
      <c r="L6" s="114" t="s">
        <v>66</v>
      </c>
      <c r="M6" s="18"/>
      <c r="N6" s="19"/>
      <c r="O6" s="20" t="s">
        <v>14</v>
      </c>
      <c r="P6" s="20" t="s">
        <v>1</v>
      </c>
      <c r="Q6" s="20" t="s">
        <v>2</v>
      </c>
      <c r="R6" s="20" t="s">
        <v>4</v>
      </c>
      <c r="S6" s="20" t="s">
        <v>3</v>
      </c>
      <c r="T6" s="20" t="s">
        <v>5</v>
      </c>
      <c r="U6" s="20" t="s">
        <v>6</v>
      </c>
      <c r="V6" s="21" t="s">
        <v>7</v>
      </c>
      <c r="W6" s="3"/>
    </row>
    <row r="7" spans="1:23" ht="12.75">
      <c r="A7" s="117">
        <v>41807</v>
      </c>
      <c r="B7" s="113">
        <v>1600</v>
      </c>
      <c r="C7" s="76" t="str">
        <f>Jogo!A5</f>
        <v>Brasil</v>
      </c>
      <c r="D7" s="103"/>
      <c r="E7" s="17"/>
      <c r="F7" s="23"/>
      <c r="G7" s="24" t="s">
        <v>37</v>
      </c>
      <c r="H7" s="14"/>
      <c r="I7" s="25"/>
      <c r="J7" s="105"/>
      <c r="K7" s="77" t="str">
        <f>Jogo!A7</f>
        <v>México</v>
      </c>
      <c r="L7" s="114" t="s">
        <v>67</v>
      </c>
      <c r="M7" s="18"/>
      <c r="N7" s="58" t="str">
        <f>Jogo!AN5</f>
        <v>Brasil</v>
      </c>
      <c r="O7" s="27">
        <f>VLOOKUP(N7,Jogo!$A$5:$I$8,2,FALSE)</f>
        <v>0</v>
      </c>
      <c r="P7" s="27">
        <f>VLOOKUP(N7,Jogo!$A$5:$I$8,3,FALSE)</f>
        <v>0</v>
      </c>
      <c r="Q7" s="27">
        <f>VLOOKUP(N7,Jogo!$A$5:$I$8,4,FALSE)</f>
        <v>0</v>
      </c>
      <c r="R7" s="27">
        <f>VLOOKUP(N7,Jogo!$A$5:$I$8,5,FALSE)</f>
        <v>0</v>
      </c>
      <c r="S7" s="27">
        <f>VLOOKUP(N7,Jogo!$A$5:$I$8,6,FALSE)</f>
        <v>0</v>
      </c>
      <c r="T7" s="27">
        <f>VLOOKUP(N7,Jogo!$A$5:$I$8,7,FALSE)</f>
        <v>0</v>
      </c>
      <c r="U7" s="27">
        <f>VLOOKUP(N7,Jogo!$A$5:$I$8,8,FALSE)</f>
        <v>0</v>
      </c>
      <c r="V7" s="80">
        <f>VLOOKUP(N7,Jogo!$A$5:$I$8,9,FALSE)</f>
        <v>0</v>
      </c>
      <c r="W7" s="3"/>
    </row>
    <row r="8" spans="1:23" ht="12.75">
      <c r="A8" s="117">
        <v>41808</v>
      </c>
      <c r="B8" s="113">
        <v>1500</v>
      </c>
      <c r="C8" s="76" t="str">
        <f>Jogo!A8</f>
        <v>Camarões</v>
      </c>
      <c r="D8" s="103"/>
      <c r="E8" s="17"/>
      <c r="F8" s="12"/>
      <c r="G8" s="13" t="s">
        <v>37</v>
      </c>
      <c r="H8" s="14"/>
      <c r="I8" s="15"/>
      <c r="J8" s="104"/>
      <c r="K8" s="77" t="str">
        <f>Jogo!A6</f>
        <v>Croácia</v>
      </c>
      <c r="L8" s="114" t="s">
        <v>68</v>
      </c>
      <c r="M8" s="18"/>
      <c r="N8" s="58" t="str">
        <f>Jogo!AN6</f>
        <v>Croácia</v>
      </c>
      <c r="O8" s="27">
        <f>VLOOKUP(N8,Jogo!$A$5:$I$8,2,FALSE)</f>
        <v>0</v>
      </c>
      <c r="P8" s="27">
        <f>VLOOKUP(N8,Jogo!$A$5:$I$8,3,FALSE)</f>
        <v>0</v>
      </c>
      <c r="Q8" s="27">
        <f>VLOOKUP(N8,Jogo!$A$5:$I$8,4,FALSE)</f>
        <v>0</v>
      </c>
      <c r="R8" s="27">
        <f>VLOOKUP(N8,Jogo!$A$5:$I$8,5,FALSE)</f>
        <v>0</v>
      </c>
      <c r="S8" s="27">
        <f>VLOOKUP(N8,Jogo!$A$5:$I$8,6,FALSE)</f>
        <v>0</v>
      </c>
      <c r="T8" s="27">
        <f>VLOOKUP(N8,Jogo!$A$5:$I$8,7,FALSE)</f>
        <v>0</v>
      </c>
      <c r="U8" s="27">
        <f>VLOOKUP(N8,Jogo!$A$5:$I$8,8,FALSE)</f>
        <v>0</v>
      </c>
      <c r="V8" s="80">
        <f>VLOOKUP(N8,Jogo!$A$5:$I$8,9,FALSE)</f>
        <v>0</v>
      </c>
      <c r="W8" s="3"/>
    </row>
    <row r="9" spans="1:23" ht="12.75">
      <c r="A9" s="117">
        <v>41813</v>
      </c>
      <c r="B9" s="113">
        <v>1700</v>
      </c>
      <c r="C9" s="76" t="str">
        <f>Jogo!A8</f>
        <v>Camarões</v>
      </c>
      <c r="D9" s="103"/>
      <c r="E9" s="17"/>
      <c r="F9" s="12"/>
      <c r="G9" s="13" t="s">
        <v>37</v>
      </c>
      <c r="H9" s="14"/>
      <c r="I9" s="15"/>
      <c r="J9" s="104"/>
      <c r="K9" s="77" t="str">
        <f>Jogo!A5</f>
        <v>Brasil</v>
      </c>
      <c r="L9" s="114" t="s">
        <v>69</v>
      </c>
      <c r="M9" s="18"/>
      <c r="N9" s="58" t="str">
        <f>Jogo!AN7</f>
        <v>México</v>
      </c>
      <c r="O9" s="27">
        <f>VLOOKUP(N9,Jogo!$A$5:$I$8,2,FALSE)</f>
        <v>0</v>
      </c>
      <c r="P9" s="27">
        <f>VLOOKUP(N9,Jogo!$A$5:$I$8,3,FALSE)</f>
        <v>0</v>
      </c>
      <c r="Q9" s="27">
        <f>VLOOKUP(N9,Jogo!$A$5:$I$8,4,FALSE)</f>
        <v>0</v>
      </c>
      <c r="R9" s="27">
        <f>VLOOKUP(N9,Jogo!$A$5:$I$8,5,FALSE)</f>
        <v>0</v>
      </c>
      <c r="S9" s="27">
        <f>VLOOKUP(N9,Jogo!$A$5:$I$8,6,FALSE)</f>
        <v>0</v>
      </c>
      <c r="T9" s="27">
        <f>VLOOKUP(N9,Jogo!$A$5:$I$8,7,FALSE)</f>
        <v>0</v>
      </c>
      <c r="U9" s="27">
        <f>VLOOKUP(N9,Jogo!$A$5:$I$8,8,FALSE)</f>
        <v>0</v>
      </c>
      <c r="V9" s="80">
        <f>VLOOKUP(N9,Jogo!$A$5:$I$8,9,FALSE)</f>
        <v>0</v>
      </c>
      <c r="W9" s="3"/>
    </row>
    <row r="10" spans="1:23" ht="12.75">
      <c r="A10" s="117">
        <v>41813</v>
      </c>
      <c r="B10" s="113">
        <v>1700</v>
      </c>
      <c r="C10" s="76" t="str">
        <f>Jogo!A6</f>
        <v>Croácia</v>
      </c>
      <c r="D10" s="103"/>
      <c r="E10" s="17"/>
      <c r="F10" s="12"/>
      <c r="G10" s="13" t="s">
        <v>37</v>
      </c>
      <c r="H10" s="14"/>
      <c r="I10" s="15"/>
      <c r="J10" s="104"/>
      <c r="K10" s="77" t="str">
        <f>Jogo!A7</f>
        <v>México</v>
      </c>
      <c r="L10" s="114" t="s">
        <v>70</v>
      </c>
      <c r="M10" s="28"/>
      <c r="N10" s="81" t="str">
        <f>Jogo!AN8</f>
        <v>Camarões</v>
      </c>
      <c r="O10" s="29">
        <f>VLOOKUP(N10,Jogo!$A$5:$I$8,2,FALSE)</f>
        <v>0</v>
      </c>
      <c r="P10" s="29">
        <f>VLOOKUP(N10,Jogo!$A$5:$I$8,3,FALSE)</f>
        <v>0</v>
      </c>
      <c r="Q10" s="29">
        <f>VLOOKUP(N10,Jogo!$A$5:$I$8,4,FALSE)</f>
        <v>0</v>
      </c>
      <c r="R10" s="29">
        <f>VLOOKUP(N10,Jogo!$A$5:$I$8,5,FALSE)</f>
        <v>0</v>
      </c>
      <c r="S10" s="29">
        <f>VLOOKUP(N10,Jogo!$A$5:$I$8,6,FALSE)</f>
        <v>0</v>
      </c>
      <c r="T10" s="29">
        <f>VLOOKUP(N10,Jogo!$A$5:$I$8,7,FALSE)</f>
        <v>0</v>
      </c>
      <c r="U10" s="29">
        <f>VLOOKUP(N10,Jogo!$A$5:$I$8,8,FALSE)</f>
        <v>0</v>
      </c>
      <c r="V10" s="82">
        <f>VLOOKUP(N10,Jogo!$A$5:$I$8,9,FALSE)</f>
        <v>0</v>
      </c>
      <c r="W10" s="3"/>
    </row>
    <row r="11" spans="1:22" ht="15.75" customHeight="1">
      <c r="A11" s="60"/>
      <c r="B11" s="61"/>
      <c r="C11" s="30"/>
      <c r="D11" s="30"/>
      <c r="E11" s="31"/>
      <c r="F11" s="32"/>
      <c r="G11" s="32"/>
      <c r="H11" s="32"/>
      <c r="I11" s="32"/>
      <c r="J11" s="32"/>
      <c r="K11" s="69"/>
      <c r="N11" s="83"/>
      <c r="O11" s="84"/>
      <c r="P11" s="84"/>
      <c r="Q11" s="84"/>
      <c r="R11" s="84"/>
      <c r="S11" s="84"/>
      <c r="T11" s="84"/>
      <c r="U11" s="84"/>
      <c r="V11" s="84"/>
    </row>
    <row r="12" spans="1:22" ht="12.75">
      <c r="A12" s="133" t="s">
        <v>49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23" t="s">
        <v>64</v>
      </c>
      <c r="M12" s="131"/>
      <c r="N12" s="131"/>
      <c r="O12" s="131"/>
      <c r="P12" s="131"/>
      <c r="Q12" s="131"/>
      <c r="R12" s="131"/>
      <c r="S12" s="131"/>
      <c r="T12" s="131"/>
      <c r="U12" s="131"/>
      <c r="V12" s="132"/>
    </row>
    <row r="13" spans="1:22" ht="12.75">
      <c r="A13" s="117">
        <v>41803</v>
      </c>
      <c r="B13" s="113">
        <v>1600</v>
      </c>
      <c r="C13" s="76" t="str">
        <f>Jogo!A13</f>
        <v>Espanha</v>
      </c>
      <c r="D13" s="103"/>
      <c r="E13" s="11"/>
      <c r="F13" s="12"/>
      <c r="G13" s="13" t="s">
        <v>37</v>
      </c>
      <c r="H13" s="14"/>
      <c r="I13" s="15"/>
      <c r="J13" s="104"/>
      <c r="K13" s="77" t="str">
        <f>Jogo!A14</f>
        <v>Holanda</v>
      </c>
      <c r="L13" s="114" t="s">
        <v>71</v>
      </c>
      <c r="M13" s="16"/>
      <c r="N13" s="128" t="s">
        <v>30</v>
      </c>
      <c r="O13" s="128"/>
      <c r="P13" s="128"/>
      <c r="Q13" s="128"/>
      <c r="R13" s="128"/>
      <c r="S13" s="128"/>
      <c r="T13" s="128"/>
      <c r="U13" s="128"/>
      <c r="V13" s="129"/>
    </row>
    <row r="14" spans="1:22" ht="12.75">
      <c r="A14" s="117">
        <v>41803</v>
      </c>
      <c r="B14" s="113">
        <v>1800</v>
      </c>
      <c r="C14" s="76" t="str">
        <f>Jogo!A15</f>
        <v>Chile</v>
      </c>
      <c r="D14" s="103"/>
      <c r="E14" s="17"/>
      <c r="F14" s="12"/>
      <c r="G14" s="13" t="s">
        <v>37</v>
      </c>
      <c r="H14" s="14"/>
      <c r="I14" s="15"/>
      <c r="J14" s="104"/>
      <c r="K14" s="77" t="str">
        <f>Jogo!A16</f>
        <v>Australia</v>
      </c>
      <c r="L14" s="114" t="s">
        <v>72</v>
      </c>
      <c r="M14" s="18"/>
      <c r="N14" s="19"/>
      <c r="O14" s="20" t="s">
        <v>14</v>
      </c>
      <c r="P14" s="20" t="s">
        <v>1</v>
      </c>
      <c r="Q14" s="20" t="s">
        <v>2</v>
      </c>
      <c r="R14" s="20" t="s">
        <v>4</v>
      </c>
      <c r="S14" s="20" t="s">
        <v>3</v>
      </c>
      <c r="T14" s="20" t="s">
        <v>5</v>
      </c>
      <c r="U14" s="20" t="s">
        <v>6</v>
      </c>
      <c r="V14" s="21" t="s">
        <v>7</v>
      </c>
    </row>
    <row r="15" spans="1:22" ht="12.75">
      <c r="A15" s="117">
        <v>41808</v>
      </c>
      <c r="B15" s="113">
        <v>1900</v>
      </c>
      <c r="C15" s="76" t="str">
        <f>Jogo!A13</f>
        <v>Espanha</v>
      </c>
      <c r="D15" s="103"/>
      <c r="E15" s="22"/>
      <c r="F15" s="23"/>
      <c r="G15" s="24" t="s">
        <v>37</v>
      </c>
      <c r="H15" s="14"/>
      <c r="I15" s="25"/>
      <c r="J15" s="105"/>
      <c r="K15" s="77" t="str">
        <f>Jogo!A15</f>
        <v>Chile</v>
      </c>
      <c r="L15" s="114" t="s">
        <v>73</v>
      </c>
      <c r="M15" s="18"/>
      <c r="N15" s="58" t="str">
        <f>Jogo!AN13</f>
        <v>Espanha</v>
      </c>
      <c r="O15" s="27">
        <f>VLOOKUP(N15,Jogo!$A$13:$I$16,2,FALSE)</f>
        <v>0</v>
      </c>
      <c r="P15" s="27">
        <f>VLOOKUP(N15,Jogo!$A$13:$I$16,3,FALSE)</f>
        <v>0</v>
      </c>
      <c r="Q15" s="27">
        <f>VLOOKUP(N15,Jogo!$A$13:$I$16,4,FALSE)</f>
        <v>0</v>
      </c>
      <c r="R15" s="27">
        <f>VLOOKUP(N15,Jogo!$A$13:$I$16,5,FALSE)</f>
        <v>0</v>
      </c>
      <c r="S15" s="27">
        <f>VLOOKUP(N15,Jogo!$A$13:$I$16,6,FALSE)</f>
        <v>0</v>
      </c>
      <c r="T15" s="27">
        <f>VLOOKUP(N15,Jogo!$A$13:$I$16,7,FALSE)</f>
        <v>0</v>
      </c>
      <c r="U15" s="27">
        <f>VLOOKUP(N15,Jogo!$A$13:$I$16,8,FALSE)</f>
        <v>0</v>
      </c>
      <c r="V15" s="80">
        <f>VLOOKUP(N15,Jogo!$A$13:$I$16,9,FALSE)</f>
        <v>0</v>
      </c>
    </row>
    <row r="16" spans="1:22" ht="12.75">
      <c r="A16" s="117">
        <v>41808</v>
      </c>
      <c r="B16" s="113">
        <v>1300</v>
      </c>
      <c r="C16" s="76" t="str">
        <f>Jogo!A16</f>
        <v>Australia</v>
      </c>
      <c r="D16" s="103"/>
      <c r="E16" s="17"/>
      <c r="F16" s="12"/>
      <c r="G16" s="13" t="s">
        <v>37</v>
      </c>
      <c r="H16" s="14"/>
      <c r="I16" s="15"/>
      <c r="J16" s="104"/>
      <c r="K16" s="77" t="str">
        <f>Jogo!A14</f>
        <v>Holanda</v>
      </c>
      <c r="L16" s="114" t="s">
        <v>74</v>
      </c>
      <c r="M16" s="18"/>
      <c r="N16" s="58" t="str">
        <f>Jogo!AN14</f>
        <v>Holanda</v>
      </c>
      <c r="O16" s="27">
        <f>VLOOKUP(N16,Jogo!$A$13:$I$16,2,FALSE)</f>
        <v>0</v>
      </c>
      <c r="P16" s="27">
        <f>VLOOKUP(N16,Jogo!$A$13:$I$16,3,FALSE)</f>
        <v>0</v>
      </c>
      <c r="Q16" s="27">
        <f>VLOOKUP(N16,Jogo!$A$13:$I$16,4,FALSE)</f>
        <v>0</v>
      </c>
      <c r="R16" s="27">
        <f>VLOOKUP(N16,Jogo!$A$13:$I$16,5,FALSE)</f>
        <v>0</v>
      </c>
      <c r="S16" s="27">
        <f>VLOOKUP(N16,Jogo!$A$13:$I$16,6,FALSE)</f>
        <v>0</v>
      </c>
      <c r="T16" s="27">
        <f>VLOOKUP(N16,Jogo!$A$13:$I$16,7,FALSE)</f>
        <v>0</v>
      </c>
      <c r="U16" s="27">
        <f>VLOOKUP(N16,Jogo!$A$13:$I$16,8,FALSE)</f>
        <v>0</v>
      </c>
      <c r="V16" s="80">
        <f>VLOOKUP(N16,Jogo!$A$13:$I$16,9,FALSE)</f>
        <v>0</v>
      </c>
    </row>
    <row r="17" spans="1:22" ht="12.75">
      <c r="A17" s="117">
        <v>41813</v>
      </c>
      <c r="B17" s="113">
        <v>1300</v>
      </c>
      <c r="C17" s="76" t="str">
        <f>Jogo!A16</f>
        <v>Australia</v>
      </c>
      <c r="D17" s="103"/>
      <c r="E17" s="17"/>
      <c r="F17" s="12"/>
      <c r="G17" s="13" t="s">
        <v>37</v>
      </c>
      <c r="H17" s="14"/>
      <c r="I17" s="15"/>
      <c r="J17" s="104"/>
      <c r="K17" s="77" t="str">
        <f>Jogo!A13</f>
        <v>Espanha</v>
      </c>
      <c r="L17" s="114" t="s">
        <v>75</v>
      </c>
      <c r="M17" s="18"/>
      <c r="N17" s="58" t="str">
        <f>Jogo!AN15</f>
        <v>Chile</v>
      </c>
      <c r="O17" s="27">
        <f>VLOOKUP(N17,Jogo!$A$13:$I$16,2,FALSE)</f>
        <v>0</v>
      </c>
      <c r="P17" s="27">
        <f>VLOOKUP(N17,Jogo!$A$13:$I$16,3,FALSE)</f>
        <v>0</v>
      </c>
      <c r="Q17" s="27">
        <f>VLOOKUP(N17,Jogo!$A$13:$I$16,4,FALSE)</f>
        <v>0</v>
      </c>
      <c r="R17" s="27">
        <f>VLOOKUP(N17,Jogo!$A$13:$I$16,5,FALSE)</f>
        <v>0</v>
      </c>
      <c r="S17" s="27">
        <f>VLOOKUP(N17,Jogo!$A$13:$I$16,6,FALSE)</f>
        <v>0</v>
      </c>
      <c r="T17" s="27">
        <f>VLOOKUP(N17,Jogo!$A$13:$I$16,7,FALSE)</f>
        <v>0</v>
      </c>
      <c r="U17" s="27">
        <f>VLOOKUP(N17,Jogo!$A$13:$I$16,8,FALSE)</f>
        <v>0</v>
      </c>
      <c r="V17" s="80">
        <f>VLOOKUP(N17,Jogo!$A$13:$I$16,9,FALSE)</f>
        <v>0</v>
      </c>
    </row>
    <row r="18" spans="1:22" ht="12.75">
      <c r="A18" s="117">
        <v>41813</v>
      </c>
      <c r="B18" s="113">
        <v>1300</v>
      </c>
      <c r="C18" s="76" t="str">
        <f>Jogo!A14</f>
        <v>Holanda</v>
      </c>
      <c r="D18" s="103"/>
      <c r="E18" s="17"/>
      <c r="F18" s="12"/>
      <c r="G18" s="13" t="s">
        <v>37</v>
      </c>
      <c r="H18" s="14"/>
      <c r="I18" s="15"/>
      <c r="J18" s="104"/>
      <c r="K18" s="77" t="str">
        <f>Jogo!A15</f>
        <v>Chile</v>
      </c>
      <c r="L18" s="114" t="s">
        <v>76</v>
      </c>
      <c r="M18" s="28"/>
      <c r="N18" s="81" t="str">
        <f>Jogo!AN16</f>
        <v>Australia</v>
      </c>
      <c r="O18" s="29">
        <f>VLOOKUP(N18,Jogo!$A$13:$I$16,2,FALSE)</f>
        <v>0</v>
      </c>
      <c r="P18" s="29">
        <f>VLOOKUP(N18,Jogo!$A$13:$I$16,3,FALSE)</f>
        <v>0</v>
      </c>
      <c r="Q18" s="29">
        <f>VLOOKUP(N18,Jogo!$A$13:$I$16,4,FALSE)</f>
        <v>0</v>
      </c>
      <c r="R18" s="29">
        <f>VLOOKUP(N18,Jogo!$A$13:$I$16,5,FALSE)</f>
        <v>0</v>
      </c>
      <c r="S18" s="29">
        <f>VLOOKUP(N18,Jogo!$A$13:$I$16,6,FALSE)</f>
        <v>0</v>
      </c>
      <c r="T18" s="29">
        <f>VLOOKUP(N18,Jogo!$A$13:$I$16,7,FALSE)</f>
        <v>0</v>
      </c>
      <c r="U18" s="29">
        <f>VLOOKUP(N18,Jogo!$A$13:$I$16,8,FALSE)</f>
        <v>0</v>
      </c>
      <c r="V18" s="82">
        <f>VLOOKUP(N18,Jogo!$A$13:$I$16,9,FALSE)</f>
        <v>0</v>
      </c>
    </row>
    <row r="19" spans="1:22" ht="15">
      <c r="A19" s="60"/>
      <c r="B19" s="61"/>
      <c r="C19" s="33"/>
      <c r="D19" s="33"/>
      <c r="E19" s="34"/>
      <c r="F19" s="35"/>
      <c r="G19" s="35"/>
      <c r="H19" s="35"/>
      <c r="I19" s="35"/>
      <c r="J19" s="35"/>
      <c r="K19" s="115"/>
      <c r="L19" s="116"/>
      <c r="N19" s="83"/>
      <c r="O19" s="84"/>
      <c r="P19" s="84"/>
      <c r="Q19" s="84"/>
      <c r="R19" s="84"/>
      <c r="S19" s="84"/>
      <c r="T19" s="84"/>
      <c r="U19" s="84"/>
      <c r="V19" s="84"/>
    </row>
    <row r="20" spans="1:28" ht="12.75">
      <c r="A20" s="133" t="s">
        <v>48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23" t="s">
        <v>64</v>
      </c>
      <c r="M20" s="131"/>
      <c r="N20" s="131"/>
      <c r="O20" s="131"/>
      <c r="P20" s="131"/>
      <c r="Q20" s="131"/>
      <c r="R20" s="131"/>
      <c r="S20" s="131"/>
      <c r="T20" s="131"/>
      <c r="U20" s="131"/>
      <c r="V20" s="132"/>
      <c r="AB20"/>
    </row>
    <row r="21" spans="1:22" ht="12.75">
      <c r="A21" s="117">
        <v>41804</v>
      </c>
      <c r="B21" s="113">
        <v>1300</v>
      </c>
      <c r="C21" s="76" t="str">
        <f>Jogo!A21</f>
        <v>Colombia</v>
      </c>
      <c r="D21" s="103"/>
      <c r="E21" s="11"/>
      <c r="F21" s="12"/>
      <c r="G21" s="13" t="s">
        <v>37</v>
      </c>
      <c r="H21" s="14"/>
      <c r="I21" s="15"/>
      <c r="J21" s="104"/>
      <c r="K21" s="77" t="str">
        <f>Jogo!A22</f>
        <v>Grécia</v>
      </c>
      <c r="L21" s="114" t="s">
        <v>77</v>
      </c>
      <c r="M21" s="16"/>
      <c r="N21" s="128" t="s">
        <v>31</v>
      </c>
      <c r="O21" s="128"/>
      <c r="P21" s="128"/>
      <c r="Q21" s="128"/>
      <c r="R21" s="128"/>
      <c r="S21" s="128"/>
      <c r="T21" s="128"/>
      <c r="U21" s="128"/>
      <c r="V21" s="129"/>
    </row>
    <row r="22" spans="1:22" ht="12.75">
      <c r="A22" s="117">
        <v>41804</v>
      </c>
      <c r="B22" s="113">
        <v>1900</v>
      </c>
      <c r="C22" s="76" t="str">
        <f>Jogo!A23</f>
        <v>Costa do Marfim</v>
      </c>
      <c r="D22" s="103"/>
      <c r="E22" s="17"/>
      <c r="F22" s="12"/>
      <c r="G22" s="13" t="s">
        <v>37</v>
      </c>
      <c r="H22" s="14"/>
      <c r="I22" s="15"/>
      <c r="J22" s="104"/>
      <c r="K22" s="77" t="str">
        <f>Jogo!A24</f>
        <v>Japão</v>
      </c>
      <c r="L22" s="114" t="s">
        <v>70</v>
      </c>
      <c r="M22" s="18"/>
      <c r="N22" s="19"/>
      <c r="O22" s="20" t="s">
        <v>14</v>
      </c>
      <c r="P22" s="20" t="s">
        <v>1</v>
      </c>
      <c r="Q22" s="20" t="s">
        <v>2</v>
      </c>
      <c r="R22" s="20" t="s">
        <v>4</v>
      </c>
      <c r="S22" s="20" t="s">
        <v>3</v>
      </c>
      <c r="T22" s="20" t="s">
        <v>5</v>
      </c>
      <c r="U22" s="20" t="s">
        <v>6</v>
      </c>
      <c r="V22" s="21" t="s">
        <v>7</v>
      </c>
    </row>
    <row r="23" spans="1:22" ht="12.75">
      <c r="A23" s="117">
        <v>41809</v>
      </c>
      <c r="B23" s="113">
        <v>1300</v>
      </c>
      <c r="C23" s="76" t="str">
        <f>Jogo!A21</f>
        <v>Colombia</v>
      </c>
      <c r="D23" s="103"/>
      <c r="E23" s="22"/>
      <c r="F23" s="23"/>
      <c r="G23" s="24" t="s">
        <v>37</v>
      </c>
      <c r="H23" s="14"/>
      <c r="I23" s="25"/>
      <c r="J23" s="105"/>
      <c r="K23" s="77" t="str">
        <f>Jogo!A23</f>
        <v>Costa do Marfim</v>
      </c>
      <c r="L23" s="125" t="s">
        <v>69</v>
      </c>
      <c r="M23" s="18"/>
      <c r="N23" s="58" t="str">
        <f>Jogo!AN21</f>
        <v>Colombia</v>
      </c>
      <c r="O23" s="27">
        <f>VLOOKUP(N23,Jogo!$A$21:$I$24,2,FALSE)</f>
        <v>0</v>
      </c>
      <c r="P23" s="27">
        <f>VLOOKUP(N23,Jogo!$A$21:$I$24,3,FALSE)</f>
        <v>0</v>
      </c>
      <c r="Q23" s="27">
        <f>VLOOKUP(N23,Jogo!$A$21:$I$24,4,FALSE)</f>
        <v>0</v>
      </c>
      <c r="R23" s="27">
        <f>VLOOKUP(N23,Jogo!$A$21:$I$24,5,FALSE)</f>
        <v>0</v>
      </c>
      <c r="S23" s="27">
        <f>VLOOKUP(N23,Jogo!$A$21:$I$24,6,FALSE)</f>
        <v>0</v>
      </c>
      <c r="T23" s="27">
        <f>VLOOKUP(N23,Jogo!$A$21:$I$24,7,FALSE)</f>
        <v>0</v>
      </c>
      <c r="U23" s="27">
        <f>VLOOKUP(N23,Jogo!$A$21:$I$24,8,FALSE)</f>
        <v>0</v>
      </c>
      <c r="V23" s="80">
        <f>VLOOKUP(N23,Jogo!$A$21:$I$24,9,FALSE)</f>
        <v>0</v>
      </c>
    </row>
    <row r="24" spans="1:22" ht="12.75">
      <c r="A24" s="117">
        <v>41809</v>
      </c>
      <c r="B24" s="113">
        <v>1900</v>
      </c>
      <c r="C24" s="76" t="str">
        <f>Jogo!A24</f>
        <v>Japão</v>
      </c>
      <c r="D24" s="103"/>
      <c r="E24" s="17"/>
      <c r="F24" s="12"/>
      <c r="G24" s="13" t="s">
        <v>37</v>
      </c>
      <c r="H24" s="14"/>
      <c r="I24" s="15"/>
      <c r="J24" s="104"/>
      <c r="K24" s="77" t="str">
        <f>Jogo!A22</f>
        <v>Grécia</v>
      </c>
      <c r="L24" s="114" t="s">
        <v>66</v>
      </c>
      <c r="M24" s="127"/>
      <c r="N24" s="58" t="str">
        <f>Jogo!AN22</f>
        <v>Grécia</v>
      </c>
      <c r="O24" s="27">
        <f>VLOOKUP(N24,Jogo!$A$21:$I$24,2,FALSE)</f>
        <v>0</v>
      </c>
      <c r="P24" s="27">
        <f>VLOOKUP(N24,Jogo!$A$21:$I$24,3,FALSE)</f>
        <v>0</v>
      </c>
      <c r="Q24" s="27">
        <f>VLOOKUP(N24,Jogo!$A$21:$I$24,4,FALSE)</f>
        <v>0</v>
      </c>
      <c r="R24" s="27">
        <f>VLOOKUP(N24,Jogo!$A$21:$I$24,5,FALSE)</f>
        <v>0</v>
      </c>
      <c r="S24" s="27">
        <f>VLOOKUP(N24,Jogo!$A$21:$I$24,6,FALSE)</f>
        <v>0</v>
      </c>
      <c r="T24" s="27">
        <f>VLOOKUP(N24,Jogo!$A$21:$I$24,7,FALSE)</f>
        <v>0</v>
      </c>
      <c r="U24" s="27">
        <f>VLOOKUP(N24,Jogo!$A$21:$I$24,8,FALSE)</f>
        <v>0</v>
      </c>
      <c r="V24" s="80">
        <f>VLOOKUP(N24,Jogo!$A$21:$I$24,9,FALSE)</f>
        <v>0</v>
      </c>
    </row>
    <row r="25" spans="1:22" ht="12.75">
      <c r="A25" s="117">
        <v>41814</v>
      </c>
      <c r="B25" s="113">
        <v>1600</v>
      </c>
      <c r="C25" s="76" t="str">
        <f>Jogo!A24</f>
        <v>Japão</v>
      </c>
      <c r="D25" s="103"/>
      <c r="E25" s="17"/>
      <c r="F25" s="12"/>
      <c r="G25" s="13" t="s">
        <v>37</v>
      </c>
      <c r="H25" s="14"/>
      <c r="I25" s="15"/>
      <c r="J25" s="104"/>
      <c r="K25" s="77" t="str">
        <f>Jogo!A21</f>
        <v>Colombia</v>
      </c>
      <c r="L25" s="114" t="s">
        <v>72</v>
      </c>
      <c r="M25" s="127"/>
      <c r="N25" s="58" t="str">
        <f>Jogo!AN23</f>
        <v>Costa do Marfim</v>
      </c>
      <c r="O25" s="27">
        <f>VLOOKUP(N25,Jogo!$A$21:$I$24,2,FALSE)</f>
        <v>0</v>
      </c>
      <c r="P25" s="27">
        <f>VLOOKUP(N25,Jogo!$A$21:$I$24,3,FALSE)</f>
        <v>0</v>
      </c>
      <c r="Q25" s="27">
        <f>VLOOKUP(N25,Jogo!$A$21:$I$24,4,FALSE)</f>
        <v>0</v>
      </c>
      <c r="R25" s="27">
        <f>VLOOKUP(N25,Jogo!$A$21:$I$24,5,FALSE)</f>
        <v>0</v>
      </c>
      <c r="S25" s="27">
        <f>VLOOKUP(N25,Jogo!$A$21:$I$24,6,FALSE)</f>
        <v>0</v>
      </c>
      <c r="T25" s="27">
        <f>VLOOKUP(N25,Jogo!$A$21:$I$24,7,FALSE)</f>
        <v>0</v>
      </c>
      <c r="U25" s="27">
        <f>VLOOKUP(N25,Jogo!$A$21:$I$24,8,FALSE)</f>
        <v>0</v>
      </c>
      <c r="V25" s="80">
        <f>VLOOKUP(N25,Jogo!$A$21:$I$24,9,FALSE)</f>
        <v>0</v>
      </c>
    </row>
    <row r="26" spans="1:22" ht="12.75">
      <c r="A26" s="117">
        <v>41814</v>
      </c>
      <c r="B26" s="113">
        <v>1700</v>
      </c>
      <c r="C26" s="76" t="str">
        <f>Jogo!A22</f>
        <v>Grécia</v>
      </c>
      <c r="D26" s="103"/>
      <c r="E26" s="17"/>
      <c r="F26" s="12"/>
      <c r="G26" s="13" t="s">
        <v>37</v>
      </c>
      <c r="H26" s="14"/>
      <c r="I26" s="15"/>
      <c r="J26" s="104"/>
      <c r="K26" s="92" t="str">
        <f>Jogo!A23</f>
        <v>Costa do Marfim</v>
      </c>
      <c r="L26" s="114" t="s">
        <v>67</v>
      </c>
      <c r="M26" s="28"/>
      <c r="N26" s="81" t="str">
        <f>Jogo!AN24</f>
        <v>Japão</v>
      </c>
      <c r="O26" s="29">
        <f>VLOOKUP(N26,Jogo!$A$21:$I$24,2,FALSE)</f>
        <v>0</v>
      </c>
      <c r="P26" s="29">
        <f>VLOOKUP(N26,Jogo!$A$21:$I$24,3,FALSE)</f>
        <v>0</v>
      </c>
      <c r="Q26" s="29">
        <f>VLOOKUP(N26,Jogo!$A$21:$I$24,4,FALSE)</f>
        <v>0</v>
      </c>
      <c r="R26" s="29">
        <f>VLOOKUP(N26,Jogo!$A$21:$I$24,5,FALSE)</f>
        <v>0</v>
      </c>
      <c r="S26" s="29">
        <f>VLOOKUP(N26,Jogo!$A$21:$I$24,6,FALSE)</f>
        <v>0</v>
      </c>
      <c r="T26" s="29">
        <f>VLOOKUP(N26,Jogo!$A$21:$I$24,7,FALSE)</f>
        <v>0</v>
      </c>
      <c r="U26" s="29">
        <f>VLOOKUP(N26,Jogo!$A$21:$I$24,8,FALSE)</f>
        <v>0</v>
      </c>
      <c r="V26" s="82">
        <f>VLOOKUP(N26,Jogo!$A$21:$I$24,9,FALSE)</f>
        <v>0</v>
      </c>
    </row>
    <row r="27" spans="1:22" ht="15">
      <c r="A27" s="60"/>
      <c r="B27" s="61"/>
      <c r="C27" s="33"/>
      <c r="D27" s="33"/>
      <c r="E27" s="34"/>
      <c r="F27" s="35"/>
      <c r="G27" s="35"/>
      <c r="H27" s="35"/>
      <c r="I27" s="35"/>
      <c r="J27" s="35"/>
      <c r="K27" s="3"/>
      <c r="L27" s="116"/>
      <c r="N27" s="83"/>
      <c r="O27" s="84"/>
      <c r="P27" s="84"/>
      <c r="Q27" s="84"/>
      <c r="R27" s="84"/>
      <c r="S27" s="84"/>
      <c r="T27" s="84"/>
      <c r="U27" s="84"/>
      <c r="V27" s="84"/>
    </row>
    <row r="28" spans="1:22" ht="13.5">
      <c r="A28" s="133" t="s">
        <v>50</v>
      </c>
      <c r="B28" s="130"/>
      <c r="C28" s="130"/>
      <c r="D28" s="100"/>
      <c r="E28" s="7"/>
      <c r="F28" s="141"/>
      <c r="G28" s="141"/>
      <c r="H28" s="141"/>
      <c r="I28" s="7"/>
      <c r="J28" s="7"/>
      <c r="K28" s="68"/>
      <c r="L28" s="8"/>
      <c r="M28" s="9"/>
      <c r="N28" s="85"/>
      <c r="O28" s="10"/>
      <c r="P28" s="10"/>
      <c r="Q28" s="10"/>
      <c r="R28" s="10"/>
      <c r="S28" s="10"/>
      <c r="T28" s="86"/>
      <c r="U28" s="86"/>
      <c r="V28" s="87"/>
    </row>
    <row r="29" spans="1:22" ht="12.75">
      <c r="A29" s="117">
        <v>41804</v>
      </c>
      <c r="B29" s="113">
        <v>1600</v>
      </c>
      <c r="C29" s="76" t="str">
        <f>Jogo!A29</f>
        <v>Uruguai</v>
      </c>
      <c r="D29" s="103"/>
      <c r="E29" s="11"/>
      <c r="F29" s="12"/>
      <c r="G29" s="13" t="s">
        <v>37</v>
      </c>
      <c r="H29" s="14"/>
      <c r="I29" s="15"/>
      <c r="J29" s="104"/>
      <c r="K29" s="77" t="str">
        <f>Jogo!A30</f>
        <v>Costa Rica</v>
      </c>
      <c r="L29" s="114" t="s">
        <v>67</v>
      </c>
      <c r="M29" s="16"/>
      <c r="N29" s="128" t="s">
        <v>32</v>
      </c>
      <c r="O29" s="128"/>
      <c r="P29" s="128"/>
      <c r="Q29" s="128"/>
      <c r="R29" s="128"/>
      <c r="S29" s="128"/>
      <c r="T29" s="128"/>
      <c r="U29" s="128"/>
      <c r="V29" s="129"/>
    </row>
    <row r="30" spans="1:22" ht="12.75">
      <c r="A30" s="117">
        <v>41804</v>
      </c>
      <c r="B30" s="113">
        <v>2100</v>
      </c>
      <c r="C30" s="76" t="str">
        <f>Jogo!A31</f>
        <v>Inglaterra</v>
      </c>
      <c r="D30" s="103"/>
      <c r="E30" s="17"/>
      <c r="F30" s="12"/>
      <c r="G30" s="13" t="s">
        <v>37</v>
      </c>
      <c r="H30" s="14"/>
      <c r="I30" s="15"/>
      <c r="J30" s="104"/>
      <c r="K30" s="77" t="str">
        <f>Jogo!A32</f>
        <v>Itália</v>
      </c>
      <c r="L30" s="114" t="s">
        <v>68</v>
      </c>
      <c r="M30" s="18"/>
      <c r="N30" s="19"/>
      <c r="O30" s="20" t="s">
        <v>14</v>
      </c>
      <c r="P30" s="20" t="s">
        <v>1</v>
      </c>
      <c r="Q30" s="20" t="s">
        <v>2</v>
      </c>
      <c r="R30" s="20" t="s">
        <v>4</v>
      </c>
      <c r="S30" s="20" t="s">
        <v>3</v>
      </c>
      <c r="T30" s="20" t="s">
        <v>5</v>
      </c>
      <c r="U30" s="20" t="s">
        <v>6</v>
      </c>
      <c r="V30" s="21" t="s">
        <v>7</v>
      </c>
    </row>
    <row r="31" spans="1:22" ht="12.75">
      <c r="A31" s="117">
        <v>41809</v>
      </c>
      <c r="B31" s="113">
        <v>1600</v>
      </c>
      <c r="C31" s="76" t="str">
        <f>Jogo!A29</f>
        <v>Uruguai</v>
      </c>
      <c r="D31" s="103"/>
      <c r="E31" s="22"/>
      <c r="F31" s="23"/>
      <c r="G31" s="24" t="s">
        <v>37</v>
      </c>
      <c r="H31" s="14"/>
      <c r="I31" s="25"/>
      <c r="J31" s="105"/>
      <c r="K31" s="77" t="str">
        <f>Jogo!A31</f>
        <v>Inglaterra</v>
      </c>
      <c r="L31" s="114" t="s">
        <v>65</v>
      </c>
      <c r="M31" s="18"/>
      <c r="N31" s="58" t="str">
        <f>Jogo!AN29</f>
        <v>Uruguai</v>
      </c>
      <c r="O31" s="27">
        <f>VLOOKUP(N31,Jogo!$A$29:$I$32,2,FALSE)</f>
        <v>0</v>
      </c>
      <c r="P31" s="27">
        <f>VLOOKUP(N31,Jogo!$A$29:$I$32,3,FALSE)</f>
        <v>0</v>
      </c>
      <c r="Q31" s="27">
        <f>VLOOKUP(N31,Jogo!$A$29:$I$32,4,FALSE)</f>
        <v>0</v>
      </c>
      <c r="R31" s="27">
        <f>VLOOKUP(N31,Jogo!$A$29:$I$32,5,FALSE)</f>
        <v>0</v>
      </c>
      <c r="S31" s="27">
        <f>VLOOKUP(N31,Jogo!$A$29:$I$32,6,FALSE)</f>
        <v>0</v>
      </c>
      <c r="T31" s="27">
        <f>VLOOKUP(N31,Jogo!$A$29:$I$32,7,FALSE)</f>
        <v>0</v>
      </c>
      <c r="U31" s="27">
        <f>VLOOKUP(N31,Jogo!$A$29:$I$32,8,FALSE)</f>
        <v>0</v>
      </c>
      <c r="V31" s="80">
        <f>VLOOKUP(N31,Jogo!$A$29:$I$32,9,FALSE)</f>
        <v>0</v>
      </c>
    </row>
    <row r="32" spans="1:22" ht="12.75">
      <c r="A32" s="117">
        <v>41810</v>
      </c>
      <c r="B32" s="113">
        <v>1300</v>
      </c>
      <c r="C32" s="76" t="str">
        <f>Jogo!A32</f>
        <v>Itália</v>
      </c>
      <c r="D32" s="103"/>
      <c r="E32" s="17"/>
      <c r="F32" s="12"/>
      <c r="G32" s="13" t="s">
        <v>37</v>
      </c>
      <c r="H32" s="14"/>
      <c r="I32" s="15"/>
      <c r="J32" s="104"/>
      <c r="K32" s="77" t="str">
        <f>Jogo!A30</f>
        <v>Costa Rica</v>
      </c>
      <c r="L32" s="114" t="s">
        <v>70</v>
      </c>
      <c r="M32" s="127"/>
      <c r="N32" s="58" t="str">
        <f>Jogo!AN30</f>
        <v>Costa Rica</v>
      </c>
      <c r="O32" s="27">
        <f>VLOOKUP(N32,Jogo!$A$29:$I$32,2,FALSE)</f>
        <v>0</v>
      </c>
      <c r="P32" s="27">
        <f>VLOOKUP(N32,Jogo!$A$29:$I$32,3,FALSE)</f>
        <v>0</v>
      </c>
      <c r="Q32" s="27">
        <f>VLOOKUP(N32,Jogo!$A$29:$I$32,4,FALSE)</f>
        <v>0</v>
      </c>
      <c r="R32" s="27">
        <f>VLOOKUP(N32,Jogo!$A$29:$I$32,5,FALSE)</f>
        <v>0</v>
      </c>
      <c r="S32" s="27">
        <f>VLOOKUP(N32,Jogo!$A$29:$I$32,6,FALSE)</f>
        <v>0</v>
      </c>
      <c r="T32" s="27">
        <f>VLOOKUP(N32,Jogo!$A$29:$I$32,7,FALSE)</f>
        <v>0</v>
      </c>
      <c r="U32" s="27">
        <f>VLOOKUP(N32,Jogo!$A$29:$I$32,8,FALSE)</f>
        <v>0</v>
      </c>
      <c r="V32" s="80">
        <f>VLOOKUP(N32,Jogo!$A$29:$I$32,9,FALSE)</f>
        <v>0</v>
      </c>
    </row>
    <row r="33" spans="1:22" ht="12.75">
      <c r="A33" s="117">
        <v>41814</v>
      </c>
      <c r="B33" s="113">
        <v>1300</v>
      </c>
      <c r="C33" s="76" t="str">
        <f>Jogo!A32</f>
        <v>Itália</v>
      </c>
      <c r="D33" s="103"/>
      <c r="E33" s="17"/>
      <c r="F33" s="12"/>
      <c r="G33" s="13" t="s">
        <v>37</v>
      </c>
      <c r="H33" s="14"/>
      <c r="I33" s="15"/>
      <c r="J33" s="104"/>
      <c r="K33" s="77" t="str">
        <f>Jogo!A29</f>
        <v>Uruguai</v>
      </c>
      <c r="L33" s="125" t="s">
        <v>66</v>
      </c>
      <c r="M33" s="127"/>
      <c r="N33" s="58" t="str">
        <f>Jogo!AN31</f>
        <v>Inglaterra</v>
      </c>
      <c r="O33" s="27">
        <f>VLOOKUP(N33,Jogo!$A$29:$I$32,2,FALSE)</f>
        <v>0</v>
      </c>
      <c r="P33" s="27">
        <f>VLOOKUP(N33,Jogo!$A$29:$I$32,3,FALSE)</f>
        <v>0</v>
      </c>
      <c r="Q33" s="27">
        <f>VLOOKUP(N33,Jogo!$A$29:$I$32,4,FALSE)</f>
        <v>0</v>
      </c>
      <c r="R33" s="27">
        <f>VLOOKUP(N33,Jogo!$A$29:$I$32,5,FALSE)</f>
        <v>0</v>
      </c>
      <c r="S33" s="27">
        <f>VLOOKUP(N33,Jogo!$A$29:$I$32,6,FALSE)</f>
        <v>0</v>
      </c>
      <c r="T33" s="27">
        <f>VLOOKUP(N33,Jogo!$A$29:$I$32,7,FALSE)</f>
        <v>0</v>
      </c>
      <c r="U33" s="27">
        <f>VLOOKUP(N33,Jogo!$A$29:$I$32,8,FALSE)</f>
        <v>0</v>
      </c>
      <c r="V33" s="80">
        <f>VLOOKUP(N33,Jogo!$A$29:$I$32,9,FALSE)</f>
        <v>0</v>
      </c>
    </row>
    <row r="34" spans="1:22" ht="12.75">
      <c r="A34" s="117">
        <v>41814</v>
      </c>
      <c r="B34" s="113">
        <v>1300</v>
      </c>
      <c r="C34" s="76" t="str">
        <f>Jogo!A30</f>
        <v>Costa Rica</v>
      </c>
      <c r="D34" s="103"/>
      <c r="E34" s="17"/>
      <c r="F34" s="12"/>
      <c r="G34" s="13" t="s">
        <v>37</v>
      </c>
      <c r="H34" s="14"/>
      <c r="I34" s="15"/>
      <c r="J34" s="104"/>
      <c r="K34" s="77" t="str">
        <f>Jogo!A31</f>
        <v>Inglaterra</v>
      </c>
      <c r="L34" s="125" t="s">
        <v>77</v>
      </c>
      <c r="M34" s="28"/>
      <c r="N34" s="81" t="str">
        <f>Jogo!AN32</f>
        <v>Itália</v>
      </c>
      <c r="O34" s="29">
        <f>VLOOKUP(N34,Jogo!$A$29:$I$32,2,FALSE)</f>
        <v>0</v>
      </c>
      <c r="P34" s="29">
        <f>VLOOKUP(N34,Jogo!$A$29:$I$32,3,FALSE)</f>
        <v>0</v>
      </c>
      <c r="Q34" s="29">
        <f>VLOOKUP(N34,Jogo!$A$29:$I$32,4,FALSE)</f>
        <v>0</v>
      </c>
      <c r="R34" s="29">
        <f>VLOOKUP(N34,Jogo!$A$29:$I$32,5,FALSE)</f>
        <v>0</v>
      </c>
      <c r="S34" s="29">
        <f>VLOOKUP(N34,Jogo!$A$29:$I$32,6,FALSE)</f>
        <v>0</v>
      </c>
      <c r="T34" s="29">
        <f>VLOOKUP(N34,Jogo!$A$29:$I$32,7,FALSE)</f>
        <v>0</v>
      </c>
      <c r="U34" s="29">
        <f>VLOOKUP(N34,Jogo!$A$29:$I$32,8,FALSE)</f>
        <v>0</v>
      </c>
      <c r="V34" s="82">
        <f>VLOOKUP(N34,Jogo!$A$29:$I$32,9,FALSE)</f>
        <v>0</v>
      </c>
    </row>
    <row r="35" spans="1:22" ht="15">
      <c r="A35" s="60"/>
      <c r="B35" s="61"/>
      <c r="C35" s="33"/>
      <c r="D35" s="33"/>
      <c r="E35" s="34"/>
      <c r="F35" s="35"/>
      <c r="G35" s="35"/>
      <c r="H35" s="35"/>
      <c r="I35" s="35"/>
      <c r="J35" s="35"/>
      <c r="K35" s="3"/>
      <c r="L35" s="116"/>
      <c r="N35" s="83"/>
      <c r="O35" s="84"/>
      <c r="P35" s="84"/>
      <c r="Q35" s="84"/>
      <c r="R35" s="84"/>
      <c r="S35" s="84"/>
      <c r="T35" s="84"/>
      <c r="U35" s="84"/>
      <c r="V35" s="84"/>
    </row>
    <row r="36" spans="1:22" ht="12.75">
      <c r="A36" s="133" t="s">
        <v>51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23" t="s">
        <v>64</v>
      </c>
      <c r="M36" s="131"/>
      <c r="N36" s="131"/>
      <c r="O36" s="131"/>
      <c r="P36" s="131"/>
      <c r="Q36" s="131"/>
      <c r="R36" s="131"/>
      <c r="S36" s="131"/>
      <c r="T36" s="131"/>
      <c r="U36" s="131"/>
      <c r="V36" s="132"/>
    </row>
    <row r="37" spans="1:22" ht="12.75">
      <c r="A37" s="117">
        <v>41805</v>
      </c>
      <c r="B37" s="113">
        <v>1300</v>
      </c>
      <c r="C37" s="76" t="str">
        <f>Jogo!A37</f>
        <v>Suiça</v>
      </c>
      <c r="D37" s="103"/>
      <c r="E37" s="11"/>
      <c r="F37" s="12"/>
      <c r="G37" s="13" t="s">
        <v>37</v>
      </c>
      <c r="H37" s="14"/>
      <c r="I37" s="15"/>
      <c r="J37" s="104"/>
      <c r="K37" s="77" t="str">
        <f>Jogo!A38</f>
        <v>Equador</v>
      </c>
      <c r="L37" s="114" t="s">
        <v>69</v>
      </c>
      <c r="M37" s="16"/>
      <c r="N37" s="128" t="s">
        <v>33</v>
      </c>
      <c r="O37" s="128"/>
      <c r="P37" s="128"/>
      <c r="Q37" s="128"/>
      <c r="R37" s="128"/>
      <c r="S37" s="128"/>
      <c r="T37" s="128"/>
      <c r="U37" s="128"/>
      <c r="V37" s="129"/>
    </row>
    <row r="38" spans="1:22" ht="12.75">
      <c r="A38" s="117">
        <v>41805</v>
      </c>
      <c r="B38" s="113">
        <v>1600</v>
      </c>
      <c r="C38" s="76" t="str">
        <f>Jogo!A39</f>
        <v>França</v>
      </c>
      <c r="D38" s="103"/>
      <c r="E38" s="17"/>
      <c r="F38" s="12"/>
      <c r="G38" s="13" t="s">
        <v>37</v>
      </c>
      <c r="H38" s="14"/>
      <c r="I38" s="15"/>
      <c r="J38" s="104"/>
      <c r="K38" s="77" t="str">
        <f>Jogo!A40</f>
        <v>Honduras</v>
      </c>
      <c r="L38" s="114" t="s">
        <v>74</v>
      </c>
      <c r="M38" s="18"/>
      <c r="N38" s="19"/>
      <c r="O38" s="20" t="s">
        <v>14</v>
      </c>
      <c r="P38" s="20" t="s">
        <v>1</v>
      </c>
      <c r="Q38" s="20" t="s">
        <v>2</v>
      </c>
      <c r="R38" s="20" t="s">
        <v>4</v>
      </c>
      <c r="S38" s="20" t="s">
        <v>3</v>
      </c>
      <c r="T38" s="20" t="s">
        <v>5</v>
      </c>
      <c r="U38" s="20" t="s">
        <v>6</v>
      </c>
      <c r="V38" s="21" t="s">
        <v>7</v>
      </c>
    </row>
    <row r="39" spans="1:22" ht="12.75">
      <c r="A39" s="117">
        <v>41810</v>
      </c>
      <c r="B39" s="113">
        <v>1600</v>
      </c>
      <c r="C39" s="76" t="str">
        <f>Jogo!A37</f>
        <v>Suiça</v>
      </c>
      <c r="D39" s="103"/>
      <c r="E39" s="22"/>
      <c r="F39" s="23"/>
      <c r="G39" s="24" t="s">
        <v>37</v>
      </c>
      <c r="H39" s="14"/>
      <c r="I39" s="25"/>
      <c r="J39" s="105"/>
      <c r="K39" s="77" t="str">
        <f>Jogo!A39</f>
        <v>França</v>
      </c>
      <c r="L39" s="114" t="s">
        <v>71</v>
      </c>
      <c r="M39" s="18"/>
      <c r="N39" s="58" t="str">
        <f>Jogo!AN37</f>
        <v>Suiça</v>
      </c>
      <c r="O39" s="27">
        <f>VLOOKUP(N39,Jogo!$A$37:$I$40,2,FALSE)</f>
        <v>0</v>
      </c>
      <c r="P39" s="27">
        <f>VLOOKUP(N39,Jogo!$A$37:$I$40,3,FALSE)</f>
        <v>0</v>
      </c>
      <c r="Q39" s="27">
        <f>VLOOKUP(N39,Jogo!$A$37:$I$40,4,FALSE)</f>
        <v>0</v>
      </c>
      <c r="R39" s="27">
        <f>VLOOKUP(N39,Jogo!$A$37:$I$40,5,FALSE)</f>
        <v>0</v>
      </c>
      <c r="S39" s="27">
        <f>VLOOKUP(N39,Jogo!$A$37:$I$40,6,FALSE)</f>
        <v>0</v>
      </c>
      <c r="T39" s="27">
        <f>VLOOKUP(N39,Jogo!$A$37:$I$40,7,FALSE)</f>
        <v>0</v>
      </c>
      <c r="U39" s="27">
        <f>VLOOKUP(N39,Jogo!$A$37:$I$40,8,FALSE)</f>
        <v>0</v>
      </c>
      <c r="V39" s="80">
        <f>VLOOKUP(N39,Jogo!$A$37:$I$40,9,FALSE)</f>
        <v>0</v>
      </c>
    </row>
    <row r="40" spans="1:22" ht="12.75">
      <c r="A40" s="117">
        <v>41810</v>
      </c>
      <c r="B40" s="113">
        <v>1900</v>
      </c>
      <c r="C40" s="76" t="str">
        <f>Jogo!A40</f>
        <v>Honduras</v>
      </c>
      <c r="D40" s="103"/>
      <c r="E40" s="17"/>
      <c r="F40" s="12"/>
      <c r="G40" s="13" t="s">
        <v>37</v>
      </c>
      <c r="H40" s="14"/>
      <c r="I40" s="15"/>
      <c r="J40" s="104"/>
      <c r="K40" s="77" t="str">
        <f>Jogo!A38</f>
        <v>Equador</v>
      </c>
      <c r="L40" s="114" t="s">
        <v>75</v>
      </c>
      <c r="M40" s="18"/>
      <c r="N40" s="58" t="str">
        <f>Jogo!AN38</f>
        <v>Equador</v>
      </c>
      <c r="O40" s="27">
        <f>VLOOKUP(N40,Jogo!$A$37:$I$40,2,FALSE)</f>
        <v>0</v>
      </c>
      <c r="P40" s="27">
        <f>VLOOKUP(N40,Jogo!$A$37:$I$40,3,FALSE)</f>
        <v>0</v>
      </c>
      <c r="Q40" s="27">
        <f>VLOOKUP(N40,Jogo!$A$37:$I$40,4,FALSE)</f>
        <v>0</v>
      </c>
      <c r="R40" s="27">
        <f>VLOOKUP(N40,Jogo!$A$37:$I$40,5,FALSE)</f>
        <v>0</v>
      </c>
      <c r="S40" s="27">
        <f>VLOOKUP(N40,Jogo!$A$37:$I$40,6,FALSE)</f>
        <v>0</v>
      </c>
      <c r="T40" s="27">
        <f>VLOOKUP(N40,Jogo!$A$37:$I$40,7,FALSE)</f>
        <v>0</v>
      </c>
      <c r="U40" s="27">
        <f>VLOOKUP(N40,Jogo!$A$37:$I$40,8,FALSE)</f>
        <v>0</v>
      </c>
      <c r="V40" s="80">
        <f>VLOOKUP(N40,Jogo!$A$37:$I$40,9,FALSE)</f>
        <v>0</v>
      </c>
    </row>
    <row r="41" spans="1:22" ht="12.75">
      <c r="A41" s="117">
        <v>41815</v>
      </c>
      <c r="B41" s="113">
        <v>1600</v>
      </c>
      <c r="C41" s="76" t="str">
        <f>Jogo!A40</f>
        <v>Honduras</v>
      </c>
      <c r="D41" s="103"/>
      <c r="E41" s="17"/>
      <c r="F41" s="12"/>
      <c r="G41" s="13" t="s">
        <v>37</v>
      </c>
      <c r="H41" s="14"/>
      <c r="I41" s="15"/>
      <c r="J41" s="104"/>
      <c r="K41" s="77" t="str">
        <f>Jogo!A37</f>
        <v>Suiça</v>
      </c>
      <c r="L41" s="114" t="s">
        <v>68</v>
      </c>
      <c r="M41" s="18"/>
      <c r="N41" s="58" t="str">
        <f>Jogo!AN39</f>
        <v>França</v>
      </c>
      <c r="O41" s="27">
        <f>VLOOKUP(N41,Jogo!$A$37:$I$40,2,FALSE)</f>
        <v>0</v>
      </c>
      <c r="P41" s="27">
        <f>VLOOKUP(N41,Jogo!$A$37:$I$40,3,FALSE)</f>
        <v>0</v>
      </c>
      <c r="Q41" s="27">
        <f>VLOOKUP(N41,Jogo!$A$37:$I$40,4,FALSE)</f>
        <v>0</v>
      </c>
      <c r="R41" s="27">
        <f>VLOOKUP(N41,Jogo!$A$37:$I$40,5,FALSE)</f>
        <v>0</v>
      </c>
      <c r="S41" s="27">
        <f>VLOOKUP(N41,Jogo!$A$37:$I$40,6,FALSE)</f>
        <v>0</v>
      </c>
      <c r="T41" s="27">
        <f>VLOOKUP(N41,Jogo!$A$37:$I$40,7,FALSE)</f>
        <v>0</v>
      </c>
      <c r="U41" s="27">
        <f>VLOOKUP(N41,Jogo!$A$37:$I$40,8,FALSE)</f>
        <v>0</v>
      </c>
      <c r="V41" s="80">
        <f>VLOOKUP(N41,Jogo!$A$37:$I$40,9,FALSE)</f>
        <v>0</v>
      </c>
    </row>
    <row r="42" spans="1:22" ht="12.75">
      <c r="A42" s="117">
        <v>41815</v>
      </c>
      <c r="B42" s="113">
        <v>1700</v>
      </c>
      <c r="C42" s="76" t="str">
        <f>Jogo!A38</f>
        <v>Equador</v>
      </c>
      <c r="D42" s="103"/>
      <c r="E42" s="17"/>
      <c r="F42" s="12"/>
      <c r="G42" s="13" t="s">
        <v>37</v>
      </c>
      <c r="H42" s="14"/>
      <c r="I42" s="15"/>
      <c r="J42" s="104"/>
      <c r="K42" s="77" t="str">
        <f>Jogo!A39</f>
        <v>França</v>
      </c>
      <c r="L42" s="114" t="s">
        <v>73</v>
      </c>
      <c r="M42" s="28"/>
      <c r="N42" s="81" t="str">
        <f>Jogo!AN40</f>
        <v>Honduras</v>
      </c>
      <c r="O42" s="29">
        <f>VLOOKUP(N42,Jogo!$A$37:$I$40,2,FALSE)</f>
        <v>0</v>
      </c>
      <c r="P42" s="29">
        <f>VLOOKUP(N42,Jogo!$A$37:$I$40,3,FALSE)</f>
        <v>0</v>
      </c>
      <c r="Q42" s="29">
        <f>VLOOKUP(N42,Jogo!$A$37:$I$40,4,FALSE)</f>
        <v>0</v>
      </c>
      <c r="R42" s="29">
        <f>VLOOKUP(N42,Jogo!$A$37:$I$40,5,FALSE)</f>
        <v>0</v>
      </c>
      <c r="S42" s="29">
        <f>VLOOKUP(N42,Jogo!$A$37:$I$40,6,FALSE)</f>
        <v>0</v>
      </c>
      <c r="T42" s="29">
        <f>VLOOKUP(N42,Jogo!$A$37:$I$40,7,FALSE)</f>
        <v>0</v>
      </c>
      <c r="U42" s="29">
        <f>VLOOKUP(N42,Jogo!$A$37:$I$40,8,FALSE)</f>
        <v>0</v>
      </c>
      <c r="V42" s="82">
        <f>VLOOKUP(N42,Jogo!$A$37:$I$40,9,FALSE)</f>
        <v>0</v>
      </c>
    </row>
    <row r="43" spans="1:22" ht="15.75">
      <c r="A43" s="60"/>
      <c r="B43" s="61"/>
      <c r="C43" s="33"/>
      <c r="D43" s="33"/>
      <c r="E43" s="34"/>
      <c r="F43" s="35"/>
      <c r="G43" s="35"/>
      <c r="H43" s="35"/>
      <c r="I43" s="35"/>
      <c r="J43" s="35"/>
      <c r="K43" s="3"/>
      <c r="N43" s="83"/>
      <c r="O43" s="84"/>
      <c r="P43" s="84"/>
      <c r="Q43" s="84"/>
      <c r="R43" s="84"/>
      <c r="S43" s="84"/>
      <c r="T43" s="84"/>
      <c r="U43" s="84"/>
      <c r="V43" s="84"/>
    </row>
    <row r="44" spans="1:22" ht="12.75">
      <c r="A44" s="133" t="s">
        <v>54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23" t="s">
        <v>64</v>
      </c>
      <c r="M44" s="131"/>
      <c r="N44" s="131"/>
      <c r="O44" s="131"/>
      <c r="P44" s="131"/>
      <c r="Q44" s="131"/>
      <c r="R44" s="131"/>
      <c r="S44" s="131"/>
      <c r="T44" s="131"/>
      <c r="U44" s="131"/>
      <c r="V44" s="132"/>
    </row>
    <row r="45" spans="1:22" ht="12.75">
      <c r="A45" s="117">
        <v>41805</v>
      </c>
      <c r="B45" s="113">
        <v>1900</v>
      </c>
      <c r="C45" s="76" t="str">
        <f>Jogo!A45</f>
        <v>Argentina</v>
      </c>
      <c r="D45" s="103"/>
      <c r="E45" s="11"/>
      <c r="F45" s="12"/>
      <c r="G45" s="13" t="s">
        <v>37</v>
      </c>
      <c r="H45" s="14"/>
      <c r="I45" s="15"/>
      <c r="J45" s="104"/>
      <c r="K45" s="77" t="str">
        <f>Jogo!A46</f>
        <v>Bósnia</v>
      </c>
      <c r="L45" s="114" t="s">
        <v>73</v>
      </c>
      <c r="M45" s="16"/>
      <c r="N45" s="128" t="s">
        <v>34</v>
      </c>
      <c r="O45" s="128"/>
      <c r="P45" s="128"/>
      <c r="Q45" s="128"/>
      <c r="R45" s="128"/>
      <c r="S45" s="128"/>
      <c r="T45" s="128"/>
      <c r="U45" s="128"/>
      <c r="V45" s="129"/>
    </row>
    <row r="46" spans="1:22" ht="12.75">
      <c r="A46" s="117">
        <v>41806</v>
      </c>
      <c r="B46" s="113">
        <v>1600</v>
      </c>
      <c r="C46" s="76" t="str">
        <f>Jogo!A47</f>
        <v>Irã</v>
      </c>
      <c r="D46" s="103"/>
      <c r="E46" s="17"/>
      <c r="F46" s="12"/>
      <c r="G46" s="13" t="s">
        <v>37</v>
      </c>
      <c r="H46" s="14"/>
      <c r="I46" s="15"/>
      <c r="J46" s="104"/>
      <c r="K46" s="77" t="str">
        <f>Jogo!A48</f>
        <v>Nigéria</v>
      </c>
      <c r="L46" s="114" t="s">
        <v>75</v>
      </c>
      <c r="M46" s="18"/>
      <c r="N46" s="19"/>
      <c r="O46" s="20" t="s">
        <v>14</v>
      </c>
      <c r="P46" s="20" t="s">
        <v>1</v>
      </c>
      <c r="Q46" s="20" t="s">
        <v>2</v>
      </c>
      <c r="R46" s="20" t="s">
        <v>4</v>
      </c>
      <c r="S46" s="20" t="s">
        <v>3</v>
      </c>
      <c r="T46" s="20" t="s">
        <v>5</v>
      </c>
      <c r="U46" s="20" t="s">
        <v>6</v>
      </c>
      <c r="V46" s="21" t="s">
        <v>7</v>
      </c>
    </row>
    <row r="47" spans="1:22" ht="12.75">
      <c r="A47" s="117">
        <v>41811</v>
      </c>
      <c r="B47" s="113">
        <v>1300</v>
      </c>
      <c r="C47" s="76" t="str">
        <f>Jogo!A45</f>
        <v>Argentina</v>
      </c>
      <c r="D47" s="103"/>
      <c r="E47" s="22"/>
      <c r="F47" s="23"/>
      <c r="G47" s="24" t="s">
        <v>37</v>
      </c>
      <c r="H47" s="14"/>
      <c r="I47" s="25"/>
      <c r="J47" s="105"/>
      <c r="K47" s="77" t="str">
        <f>Jogo!A47</f>
        <v>Irã</v>
      </c>
      <c r="L47" s="114" t="s">
        <v>77</v>
      </c>
      <c r="M47" s="18"/>
      <c r="N47" s="58" t="str">
        <f>Jogo!AN45</f>
        <v>Argentina</v>
      </c>
      <c r="O47" s="27">
        <f>VLOOKUP(N47,Jogo!$A$45:$I$48,2,FALSE)</f>
        <v>0</v>
      </c>
      <c r="P47" s="27">
        <f>VLOOKUP(N47,Jogo!$A$45:$I$48,3,FALSE)</f>
        <v>0</v>
      </c>
      <c r="Q47" s="27">
        <f>VLOOKUP(N47,Jogo!$A$45:$I$48,4,FALSE)</f>
        <v>0</v>
      </c>
      <c r="R47" s="27">
        <f>VLOOKUP(N47,Jogo!$A$45:$I$48,5,FALSE)</f>
        <v>0</v>
      </c>
      <c r="S47" s="27">
        <f>VLOOKUP(N47,Jogo!$A$45:$I$48,6,FALSE)</f>
        <v>0</v>
      </c>
      <c r="T47" s="27">
        <f>VLOOKUP(N47,Jogo!$A$45:$I$48,7,FALSE)</f>
        <v>0</v>
      </c>
      <c r="U47" s="27">
        <f>VLOOKUP(N47,Jogo!$A$45:$I$48,8,FALSE)</f>
        <v>0</v>
      </c>
      <c r="V47" s="80">
        <f>VLOOKUP(N47,Jogo!$A$45:$I$48,9,FALSE)</f>
        <v>0</v>
      </c>
    </row>
    <row r="48" spans="1:22" ht="12.75">
      <c r="A48" s="117">
        <v>41811</v>
      </c>
      <c r="B48" s="113">
        <v>1800</v>
      </c>
      <c r="C48" s="76" t="str">
        <f>Jogo!A48</f>
        <v>Nigéria</v>
      </c>
      <c r="D48" s="103"/>
      <c r="E48" s="17"/>
      <c r="F48" s="12"/>
      <c r="G48" s="13" t="s">
        <v>37</v>
      </c>
      <c r="H48" s="14"/>
      <c r="I48" s="15"/>
      <c r="J48" s="104"/>
      <c r="K48" s="77" t="str">
        <f>Jogo!A46</f>
        <v>Bósnia</v>
      </c>
      <c r="L48" s="114" t="s">
        <v>72</v>
      </c>
      <c r="M48" s="18"/>
      <c r="N48" s="58" t="str">
        <f>Jogo!AN46</f>
        <v>Bósnia</v>
      </c>
      <c r="O48" s="27">
        <f>VLOOKUP(N48,Jogo!$A$45:$I$48,2,FALSE)</f>
        <v>0</v>
      </c>
      <c r="P48" s="27">
        <f>VLOOKUP(N48,Jogo!$A$45:$I$48,3,FALSE)</f>
        <v>0</v>
      </c>
      <c r="Q48" s="27">
        <f>VLOOKUP(N48,Jogo!$A$45:$I$48,4,FALSE)</f>
        <v>0</v>
      </c>
      <c r="R48" s="27">
        <f>VLOOKUP(N48,Jogo!$A$45:$I$48,5,FALSE)</f>
        <v>0</v>
      </c>
      <c r="S48" s="27">
        <f>VLOOKUP(N48,Jogo!$A$45:$I$48,6,FALSE)</f>
        <v>0</v>
      </c>
      <c r="T48" s="27">
        <f>VLOOKUP(N48,Jogo!$A$45:$I$48,7,FALSE)</f>
        <v>0</v>
      </c>
      <c r="U48" s="27">
        <f>VLOOKUP(N48,Jogo!$A$45:$I$48,8,FALSE)</f>
        <v>0</v>
      </c>
      <c r="V48" s="80">
        <f>VLOOKUP(N48,Jogo!$A$45:$I$48,9,FALSE)</f>
        <v>0</v>
      </c>
    </row>
    <row r="49" spans="1:22" ht="12.75">
      <c r="A49" s="117">
        <v>41815</v>
      </c>
      <c r="B49" s="113">
        <v>1300</v>
      </c>
      <c r="C49" s="76" t="str">
        <f>Jogo!A48</f>
        <v>Nigéria</v>
      </c>
      <c r="D49" s="103"/>
      <c r="E49" s="17"/>
      <c r="F49" s="12"/>
      <c r="G49" s="13" t="s">
        <v>37</v>
      </c>
      <c r="H49" s="14"/>
      <c r="I49" s="15"/>
      <c r="J49" s="104"/>
      <c r="K49" s="77" t="str">
        <f>Jogo!A45</f>
        <v>Argentina</v>
      </c>
      <c r="L49" s="114" t="s">
        <v>74</v>
      </c>
      <c r="M49" s="18"/>
      <c r="N49" s="58" t="str">
        <f>Jogo!AN47</f>
        <v>Irã</v>
      </c>
      <c r="O49" s="27">
        <f>VLOOKUP(N49,Jogo!$A$45:$I$48,2,FALSE)</f>
        <v>0</v>
      </c>
      <c r="P49" s="27">
        <f>VLOOKUP(N49,Jogo!$A$45:$I$48,3,FALSE)</f>
        <v>0</v>
      </c>
      <c r="Q49" s="27">
        <f>VLOOKUP(N49,Jogo!$A$45:$I$48,4,FALSE)</f>
        <v>0</v>
      </c>
      <c r="R49" s="27">
        <f>VLOOKUP(N49,Jogo!$A$45:$I$48,5,FALSE)</f>
        <v>0</v>
      </c>
      <c r="S49" s="27">
        <f>VLOOKUP(N49,Jogo!$A$45:$I$48,6,FALSE)</f>
        <v>0</v>
      </c>
      <c r="T49" s="27">
        <f>VLOOKUP(N49,Jogo!$A$45:$I$48,7,FALSE)</f>
        <v>0</v>
      </c>
      <c r="U49" s="27">
        <f>VLOOKUP(N49,Jogo!$A$45:$I$48,8,FALSE)</f>
        <v>0</v>
      </c>
      <c r="V49" s="80">
        <f>VLOOKUP(N49,Jogo!$A$45:$I$48,9,FALSE)</f>
        <v>0</v>
      </c>
    </row>
    <row r="50" spans="1:22" ht="12.75">
      <c r="A50" s="117">
        <v>41815</v>
      </c>
      <c r="B50" s="113">
        <v>1300</v>
      </c>
      <c r="C50" s="76" t="str">
        <f>Jogo!A46</f>
        <v>Bósnia</v>
      </c>
      <c r="D50" s="103"/>
      <c r="E50" s="17"/>
      <c r="F50" s="12"/>
      <c r="G50" s="13" t="s">
        <v>37</v>
      </c>
      <c r="H50" s="14"/>
      <c r="I50" s="15"/>
      <c r="J50" s="104"/>
      <c r="K50" s="77" t="str">
        <f>Jogo!A47</f>
        <v>Irã</v>
      </c>
      <c r="L50" s="114" t="s">
        <v>71</v>
      </c>
      <c r="M50" s="28"/>
      <c r="N50" s="81" t="str">
        <f>Jogo!AN48</f>
        <v>Nigéria</v>
      </c>
      <c r="O50" s="29">
        <f>VLOOKUP(N50,Jogo!$A$45:$I$48,2,FALSE)</f>
        <v>0</v>
      </c>
      <c r="P50" s="29">
        <f>VLOOKUP(N50,Jogo!$A$45:$I$48,3,FALSE)</f>
        <v>0</v>
      </c>
      <c r="Q50" s="29">
        <f>VLOOKUP(N50,Jogo!$A$45:$I$48,4,FALSE)</f>
        <v>0</v>
      </c>
      <c r="R50" s="29">
        <f>VLOOKUP(N50,Jogo!$A$45:$I$48,5,FALSE)</f>
        <v>0</v>
      </c>
      <c r="S50" s="29">
        <f>VLOOKUP(N50,Jogo!$A$45:$I$48,6,FALSE)</f>
        <v>0</v>
      </c>
      <c r="T50" s="29">
        <f>VLOOKUP(N50,Jogo!$A$45:$I$48,7,FALSE)</f>
        <v>0</v>
      </c>
      <c r="U50" s="29">
        <f>VLOOKUP(N50,Jogo!$A$45:$I$48,8,FALSE)</f>
        <v>0</v>
      </c>
      <c r="V50" s="82">
        <f>VLOOKUP(N50,Jogo!$A$45:$I$48,9,FALSE)</f>
        <v>0</v>
      </c>
    </row>
    <row r="51" spans="1:22" ht="15.75">
      <c r="A51" s="60"/>
      <c r="B51" s="61"/>
      <c r="C51" s="33"/>
      <c r="D51" s="33"/>
      <c r="E51" s="34"/>
      <c r="F51" s="35"/>
      <c r="G51" s="35"/>
      <c r="H51" s="35"/>
      <c r="I51" s="35"/>
      <c r="J51" s="35"/>
      <c r="K51" s="3"/>
      <c r="N51" s="83"/>
      <c r="O51" s="84"/>
      <c r="P51" s="84"/>
      <c r="Q51" s="84"/>
      <c r="R51" s="84"/>
      <c r="S51" s="84"/>
      <c r="T51" s="84"/>
      <c r="U51" s="84"/>
      <c r="V51" s="84"/>
    </row>
    <row r="52" spans="1:22" ht="12.75">
      <c r="A52" s="133" t="s">
        <v>52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23" t="s">
        <v>64</v>
      </c>
      <c r="M52" s="131"/>
      <c r="N52" s="131"/>
      <c r="O52" s="131"/>
      <c r="P52" s="131"/>
      <c r="Q52" s="131"/>
      <c r="R52" s="131"/>
      <c r="S52" s="131"/>
      <c r="T52" s="131"/>
      <c r="U52" s="131"/>
      <c r="V52" s="132"/>
    </row>
    <row r="53" spans="1:22" ht="12.75">
      <c r="A53" s="117">
        <v>41806</v>
      </c>
      <c r="B53" s="113">
        <v>1300</v>
      </c>
      <c r="C53" s="76" t="str">
        <f>Jogo!A53</f>
        <v>Alemanha</v>
      </c>
      <c r="D53" s="103"/>
      <c r="E53" s="11"/>
      <c r="F53" s="12"/>
      <c r="G53" s="13" t="s">
        <v>37</v>
      </c>
      <c r="H53" s="14"/>
      <c r="I53" s="15"/>
      <c r="J53" s="104"/>
      <c r="K53" s="77" t="str">
        <f>Jogo!A54</f>
        <v>Portugal</v>
      </c>
      <c r="L53" s="114" t="s">
        <v>71</v>
      </c>
      <c r="M53" s="16"/>
      <c r="N53" s="128" t="s">
        <v>35</v>
      </c>
      <c r="O53" s="128"/>
      <c r="P53" s="128"/>
      <c r="Q53" s="128"/>
      <c r="R53" s="128"/>
      <c r="S53" s="128"/>
      <c r="T53" s="128"/>
      <c r="U53" s="128"/>
      <c r="V53" s="129"/>
    </row>
    <row r="54" spans="1:22" ht="12.75">
      <c r="A54" s="117">
        <v>41806</v>
      </c>
      <c r="B54" s="113">
        <v>1900</v>
      </c>
      <c r="C54" s="76" t="str">
        <f>Jogo!A55</f>
        <v>Gana</v>
      </c>
      <c r="D54" s="103"/>
      <c r="E54" s="17"/>
      <c r="F54" s="12"/>
      <c r="G54" s="13" t="s">
        <v>37</v>
      </c>
      <c r="H54" s="14"/>
      <c r="I54" s="15"/>
      <c r="J54" s="104"/>
      <c r="K54" s="77" t="str">
        <f>Jogo!A56</f>
        <v>Estados Unidos</v>
      </c>
      <c r="L54" s="114" t="s">
        <v>66</v>
      </c>
      <c r="M54" s="18"/>
      <c r="N54" s="19"/>
      <c r="O54" s="20" t="s">
        <v>14</v>
      </c>
      <c r="P54" s="20" t="s">
        <v>1</v>
      </c>
      <c r="Q54" s="20" t="s">
        <v>2</v>
      </c>
      <c r="R54" s="20" t="s">
        <v>4</v>
      </c>
      <c r="S54" s="20" t="s">
        <v>3</v>
      </c>
      <c r="T54" s="20" t="s">
        <v>5</v>
      </c>
      <c r="U54" s="20" t="s">
        <v>6</v>
      </c>
      <c r="V54" s="21" t="s">
        <v>7</v>
      </c>
    </row>
    <row r="55" spans="1:22" ht="12.75">
      <c r="A55" s="117">
        <v>41811</v>
      </c>
      <c r="B55" s="113">
        <v>1600</v>
      </c>
      <c r="C55" s="76" t="str">
        <f>Jogo!A53</f>
        <v>Alemanha</v>
      </c>
      <c r="D55" s="103"/>
      <c r="E55" s="22"/>
      <c r="F55" s="23"/>
      <c r="G55" s="24" t="s">
        <v>37</v>
      </c>
      <c r="H55" s="14"/>
      <c r="I55" s="25"/>
      <c r="J55" s="105"/>
      <c r="K55" s="77" t="str">
        <f>Jogo!A55</f>
        <v>Gana</v>
      </c>
      <c r="L55" s="114" t="s">
        <v>67</v>
      </c>
      <c r="M55" s="18"/>
      <c r="N55" s="58" t="str">
        <f>Jogo!AN53</f>
        <v>Alemanha</v>
      </c>
      <c r="O55" s="27">
        <f>VLOOKUP(N55,Jogo!$A$53:$I$56,2,FALSE)</f>
        <v>0</v>
      </c>
      <c r="P55" s="27">
        <f>VLOOKUP(N55,Jogo!$A$53:$I$56,3,FALSE)</f>
        <v>0</v>
      </c>
      <c r="Q55" s="27">
        <f>VLOOKUP(N55,Jogo!$A$53:$I$56,4,FALSE)</f>
        <v>0</v>
      </c>
      <c r="R55" s="27">
        <f>VLOOKUP(N55,Jogo!$A$53:$I$56,5,FALSE)</f>
        <v>0</v>
      </c>
      <c r="S55" s="27">
        <f>VLOOKUP(N55,Jogo!$A$53:$I$56,6,FALSE)</f>
        <v>0</v>
      </c>
      <c r="T55" s="27">
        <f>VLOOKUP(N55,Jogo!$A$53:$I$56,7,FALSE)</f>
        <v>0</v>
      </c>
      <c r="U55" s="27">
        <f>VLOOKUP(N55,Jogo!$A$53:$I$56,8,FALSE)</f>
        <v>0</v>
      </c>
      <c r="V55" s="80">
        <f>VLOOKUP(N55,Jogo!$A$53:$I$56,9,FALSE)</f>
        <v>0</v>
      </c>
    </row>
    <row r="56" spans="1:22" ht="12.75">
      <c r="A56" s="117">
        <v>41812</v>
      </c>
      <c r="B56" s="113">
        <v>1500</v>
      </c>
      <c r="C56" s="76" t="str">
        <f>Jogo!A56</f>
        <v>Estados Unidos</v>
      </c>
      <c r="D56" s="103"/>
      <c r="E56" s="17"/>
      <c r="F56" s="12"/>
      <c r="G56" s="13" t="s">
        <v>37</v>
      </c>
      <c r="H56" s="14"/>
      <c r="I56" s="15"/>
      <c r="J56" s="104"/>
      <c r="K56" s="77" t="str">
        <f>Jogo!A54</f>
        <v>Portugal</v>
      </c>
      <c r="L56" s="114" t="s">
        <v>68</v>
      </c>
      <c r="M56" s="18"/>
      <c r="N56" s="58" t="str">
        <f>Jogo!AN54</f>
        <v>Portugal</v>
      </c>
      <c r="O56" s="27">
        <f>VLOOKUP(N56,Jogo!$A$53:$I$56,2,FALSE)</f>
        <v>0</v>
      </c>
      <c r="P56" s="27">
        <f>VLOOKUP(N56,Jogo!$A$53:$I$56,3,FALSE)</f>
        <v>0</v>
      </c>
      <c r="Q56" s="27">
        <f>VLOOKUP(N56,Jogo!$A$53:$I$56,4,FALSE)</f>
        <v>0</v>
      </c>
      <c r="R56" s="27">
        <f>VLOOKUP(N56,Jogo!$A$53:$I$56,5,FALSE)</f>
        <v>0</v>
      </c>
      <c r="S56" s="27">
        <f>VLOOKUP(N56,Jogo!$A$53:$I$56,6,FALSE)</f>
        <v>0</v>
      </c>
      <c r="T56" s="27">
        <f>VLOOKUP(N56,Jogo!$A$53:$I$56,7,FALSE)</f>
        <v>0</v>
      </c>
      <c r="U56" s="27">
        <f>VLOOKUP(N56,Jogo!$A$53:$I$56,8,FALSE)</f>
        <v>0</v>
      </c>
      <c r="V56" s="80">
        <f>VLOOKUP(N56,Jogo!$A$53:$I$56,9,FALSE)</f>
        <v>0</v>
      </c>
    </row>
    <row r="57" spans="1:22" ht="12.75">
      <c r="A57" s="117">
        <v>41816</v>
      </c>
      <c r="B57" s="113">
        <v>1300</v>
      </c>
      <c r="C57" s="76" t="str">
        <f>Jogo!A56</f>
        <v>Estados Unidos</v>
      </c>
      <c r="D57" s="103"/>
      <c r="E57" s="17"/>
      <c r="F57" s="12"/>
      <c r="G57" s="13" t="s">
        <v>37</v>
      </c>
      <c r="H57" s="14"/>
      <c r="I57" s="15"/>
      <c r="J57" s="104"/>
      <c r="K57" s="77" t="str">
        <f>Jogo!A53</f>
        <v>Alemanha</v>
      </c>
      <c r="L57" s="114" t="s">
        <v>70</v>
      </c>
      <c r="M57" s="18"/>
      <c r="N57" s="58" t="str">
        <f>Jogo!AN55</f>
        <v>Gana</v>
      </c>
      <c r="O57" s="27">
        <f>VLOOKUP(N57,Jogo!$A$53:$I$56,2,FALSE)</f>
        <v>0</v>
      </c>
      <c r="P57" s="27">
        <f>VLOOKUP(N57,Jogo!$A$53:$I$56,3,FALSE)</f>
        <v>0</v>
      </c>
      <c r="Q57" s="27">
        <f>VLOOKUP(N57,Jogo!$A$53:$I$56,4,FALSE)</f>
        <v>0</v>
      </c>
      <c r="R57" s="27">
        <f>VLOOKUP(N57,Jogo!$A$53:$I$56,5,FALSE)</f>
        <v>0</v>
      </c>
      <c r="S57" s="27">
        <f>VLOOKUP(N57,Jogo!$A$53:$I$56,6,FALSE)</f>
        <v>0</v>
      </c>
      <c r="T57" s="27">
        <f>VLOOKUP(N57,Jogo!$A$53:$I$56,7,FALSE)</f>
        <v>0</v>
      </c>
      <c r="U57" s="27">
        <f>VLOOKUP(N57,Jogo!$A$53:$I$56,8,FALSE)</f>
        <v>0</v>
      </c>
      <c r="V57" s="80">
        <f>VLOOKUP(N57,Jogo!$A$53:$I$56,9,FALSE)</f>
        <v>0</v>
      </c>
    </row>
    <row r="58" spans="1:22" ht="12.75">
      <c r="A58" s="117">
        <v>41816</v>
      </c>
      <c r="B58" s="113">
        <v>1300</v>
      </c>
      <c r="C58" s="76" t="str">
        <f>Jogo!A54</f>
        <v>Portugal</v>
      </c>
      <c r="D58" s="103"/>
      <c r="E58" s="17"/>
      <c r="F58" s="12"/>
      <c r="G58" s="13" t="s">
        <v>37</v>
      </c>
      <c r="H58" s="14"/>
      <c r="I58" s="15"/>
      <c r="J58" s="104"/>
      <c r="K58" s="77" t="str">
        <f>Jogo!A55</f>
        <v>Gana</v>
      </c>
      <c r="L58" s="114" t="s">
        <v>69</v>
      </c>
      <c r="M58" s="28"/>
      <c r="N58" s="81" t="str">
        <f>Jogo!AN56</f>
        <v>Estados Unidos</v>
      </c>
      <c r="O58" s="29">
        <f>VLOOKUP(N58,Jogo!$A$53:$I$56,2,FALSE)</f>
        <v>0</v>
      </c>
      <c r="P58" s="29">
        <f>VLOOKUP(N58,Jogo!$A$53:$I$56,3,FALSE)</f>
        <v>0</v>
      </c>
      <c r="Q58" s="29">
        <f>VLOOKUP(N58,Jogo!$A$53:$I$56,4,FALSE)</f>
        <v>0</v>
      </c>
      <c r="R58" s="29">
        <f>VLOOKUP(N58,Jogo!$A$53:$I$56,5,FALSE)</f>
        <v>0</v>
      </c>
      <c r="S58" s="29">
        <f>VLOOKUP(N58,Jogo!$A$53:$I$56,6,FALSE)</f>
        <v>0</v>
      </c>
      <c r="T58" s="29">
        <f>VLOOKUP(N58,Jogo!$A$53:$I$56,7,FALSE)</f>
        <v>0</v>
      </c>
      <c r="U58" s="29">
        <f>VLOOKUP(N58,Jogo!$A$53:$I$56,8,FALSE)</f>
        <v>0</v>
      </c>
      <c r="V58" s="82">
        <f>VLOOKUP(N58,Jogo!$A$53:$I$56,9,FALSE)</f>
        <v>0</v>
      </c>
    </row>
    <row r="59" spans="1:22" ht="15">
      <c r="A59" s="60"/>
      <c r="B59" s="61"/>
      <c r="C59" s="33"/>
      <c r="D59" s="33"/>
      <c r="E59" s="34"/>
      <c r="F59" s="35"/>
      <c r="G59" s="35"/>
      <c r="H59" s="35"/>
      <c r="I59" s="35"/>
      <c r="J59" s="35"/>
      <c r="K59" s="3"/>
      <c r="L59" s="116"/>
      <c r="N59" s="83"/>
      <c r="O59" s="84"/>
      <c r="P59" s="84"/>
      <c r="Q59" s="84"/>
      <c r="R59" s="84"/>
      <c r="S59" s="84"/>
      <c r="T59" s="84"/>
      <c r="U59" s="84"/>
      <c r="V59" s="84"/>
    </row>
    <row r="60" spans="1:22" ht="12.75">
      <c r="A60" s="133" t="s">
        <v>53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23" t="s">
        <v>64</v>
      </c>
      <c r="M60" s="131"/>
      <c r="N60" s="131"/>
      <c r="O60" s="131"/>
      <c r="P60" s="131"/>
      <c r="Q60" s="131"/>
      <c r="R60" s="131"/>
      <c r="S60" s="131"/>
      <c r="T60" s="131"/>
      <c r="U60" s="131"/>
      <c r="V60" s="132"/>
    </row>
    <row r="61" spans="1:22" ht="12.75">
      <c r="A61" s="117">
        <v>41807</v>
      </c>
      <c r="B61" s="113">
        <v>1300</v>
      </c>
      <c r="C61" s="76" t="str">
        <f>Jogo!A61</f>
        <v>Belgica</v>
      </c>
      <c r="D61" s="103"/>
      <c r="E61" s="11"/>
      <c r="F61" s="12"/>
      <c r="G61" s="13" t="s">
        <v>37</v>
      </c>
      <c r="H61" s="14"/>
      <c r="I61" s="15"/>
      <c r="J61" s="104"/>
      <c r="K61" s="77" t="str">
        <f>Jogo!A62</f>
        <v>Argélia</v>
      </c>
      <c r="L61" s="114" t="s">
        <v>77</v>
      </c>
      <c r="M61" s="16"/>
      <c r="N61" s="128" t="s">
        <v>36</v>
      </c>
      <c r="O61" s="128"/>
      <c r="P61" s="128"/>
      <c r="Q61" s="128"/>
      <c r="R61" s="128"/>
      <c r="S61" s="128"/>
      <c r="T61" s="128"/>
      <c r="U61" s="128"/>
      <c r="V61" s="129"/>
    </row>
    <row r="62" spans="1:22" ht="12.75">
      <c r="A62" s="117">
        <v>41807</v>
      </c>
      <c r="B62" s="113">
        <v>1800</v>
      </c>
      <c r="C62" s="76" t="str">
        <f>Jogo!A63</f>
        <v>Russia</v>
      </c>
      <c r="D62" s="103"/>
      <c r="E62" s="17"/>
      <c r="F62" s="12"/>
      <c r="G62" s="13" t="s">
        <v>37</v>
      </c>
      <c r="H62" s="14"/>
      <c r="I62" s="15"/>
      <c r="J62" s="104"/>
      <c r="K62" s="77" t="str">
        <f>Jogo!A64</f>
        <v>Coreia do Sul</v>
      </c>
      <c r="L62" s="114" t="s">
        <v>72</v>
      </c>
      <c r="M62" s="18"/>
      <c r="N62" s="19"/>
      <c r="O62" s="20" t="s">
        <v>14</v>
      </c>
      <c r="P62" s="20" t="s">
        <v>1</v>
      </c>
      <c r="Q62" s="20" t="s">
        <v>2</v>
      </c>
      <c r="R62" s="20" t="s">
        <v>4</v>
      </c>
      <c r="S62" s="20" t="s">
        <v>3</v>
      </c>
      <c r="T62" s="20" t="s">
        <v>5</v>
      </c>
      <c r="U62" s="20" t="s">
        <v>6</v>
      </c>
      <c r="V62" s="21" t="s">
        <v>7</v>
      </c>
    </row>
    <row r="63" spans="1:22" ht="12.75">
      <c r="A63" s="117">
        <v>41812</v>
      </c>
      <c r="B63" s="113">
        <v>1900</v>
      </c>
      <c r="C63" s="76" t="str">
        <f>Jogo!A61</f>
        <v>Belgica</v>
      </c>
      <c r="D63" s="103"/>
      <c r="E63" s="22"/>
      <c r="F63" s="23"/>
      <c r="G63" s="24" t="s">
        <v>37</v>
      </c>
      <c r="H63" s="14"/>
      <c r="I63" s="25"/>
      <c r="J63" s="105"/>
      <c r="K63" s="77" t="str">
        <f>Jogo!A63</f>
        <v>Russia</v>
      </c>
      <c r="L63" s="114" t="s">
        <v>73</v>
      </c>
      <c r="M63" s="18"/>
      <c r="N63" s="58" t="str">
        <f>Jogo!AN61</f>
        <v>Belgica</v>
      </c>
      <c r="O63" s="27">
        <f>VLOOKUP(N63,Jogo!$A$61:$I$64,2,FALSE)</f>
        <v>0</v>
      </c>
      <c r="P63" s="27">
        <f>VLOOKUP(N63,Jogo!$A$61:$I$64,3,FALSE)</f>
        <v>0</v>
      </c>
      <c r="Q63" s="27">
        <f>VLOOKUP(N63,Jogo!$A$61:$I$64,4,FALSE)</f>
        <v>0</v>
      </c>
      <c r="R63" s="27">
        <f>VLOOKUP(N63,Jogo!$A$61:$I$64,5,FALSE)</f>
        <v>0</v>
      </c>
      <c r="S63" s="27">
        <f>VLOOKUP(N63,Jogo!$A$61:$I$64,6,FALSE)</f>
        <v>0</v>
      </c>
      <c r="T63" s="27">
        <f>VLOOKUP(N63,Jogo!$A$61:$I$64,7,FALSE)</f>
        <v>0</v>
      </c>
      <c r="U63" s="27">
        <f>VLOOKUP(N63,Jogo!$A$61:$I$64,8,FALSE)</f>
        <v>0</v>
      </c>
      <c r="V63" s="80">
        <f>VLOOKUP(N63,Jogo!$A$61:$I$64,9,FALSE)</f>
        <v>0</v>
      </c>
    </row>
    <row r="64" spans="1:22" ht="12.75">
      <c r="A64" s="117">
        <v>41812</v>
      </c>
      <c r="B64" s="113">
        <v>1300</v>
      </c>
      <c r="C64" s="76" t="str">
        <f>Jogo!A64</f>
        <v>Coreia do Sul</v>
      </c>
      <c r="D64" s="103"/>
      <c r="E64" s="17"/>
      <c r="F64" s="12"/>
      <c r="G64" s="13" t="s">
        <v>37</v>
      </c>
      <c r="H64" s="14"/>
      <c r="I64" s="15"/>
      <c r="J64" s="104"/>
      <c r="K64" s="77" t="str">
        <f>Jogo!A62</f>
        <v>Argélia</v>
      </c>
      <c r="L64" s="114" t="s">
        <v>74</v>
      </c>
      <c r="M64" s="18"/>
      <c r="N64" s="58" t="str">
        <f>Jogo!AN62</f>
        <v>Argélia</v>
      </c>
      <c r="O64" s="27">
        <f>VLOOKUP(N64,Jogo!$A$61:$I$64,2,FALSE)</f>
        <v>0</v>
      </c>
      <c r="P64" s="27">
        <f>VLOOKUP(N64,Jogo!$A$61:$I$64,3,FALSE)</f>
        <v>0</v>
      </c>
      <c r="Q64" s="27">
        <f>VLOOKUP(N64,Jogo!$A$61:$I$64,4,FALSE)</f>
        <v>0</v>
      </c>
      <c r="R64" s="27">
        <f>VLOOKUP(N64,Jogo!$A$61:$I$64,5,FALSE)</f>
        <v>0</v>
      </c>
      <c r="S64" s="27">
        <f>VLOOKUP(N64,Jogo!$A$61:$I$64,6,FALSE)</f>
        <v>0</v>
      </c>
      <c r="T64" s="27">
        <f>VLOOKUP(N64,Jogo!$A$61:$I$64,7,FALSE)</f>
        <v>0</v>
      </c>
      <c r="U64" s="27">
        <f>VLOOKUP(N64,Jogo!$A$61:$I$64,8,FALSE)</f>
        <v>0</v>
      </c>
      <c r="V64" s="80">
        <f>VLOOKUP(N64,Jogo!$A$61:$I$64,9,FALSE)</f>
        <v>0</v>
      </c>
    </row>
    <row r="65" spans="1:22" ht="12.75">
      <c r="A65" s="117">
        <v>41816</v>
      </c>
      <c r="B65" s="113">
        <v>1700</v>
      </c>
      <c r="C65" s="76" t="str">
        <f>Jogo!A64</f>
        <v>Coreia do Sul</v>
      </c>
      <c r="D65" s="103"/>
      <c r="E65" s="17"/>
      <c r="F65" s="12"/>
      <c r="G65" s="13" t="s">
        <v>37</v>
      </c>
      <c r="H65" s="14"/>
      <c r="I65" s="15"/>
      <c r="J65" s="104"/>
      <c r="K65" s="77" t="str">
        <f>Jogo!A61</f>
        <v>Belgica</v>
      </c>
      <c r="L65" s="114" t="s">
        <v>65</v>
      </c>
      <c r="M65" s="18"/>
      <c r="N65" s="58" t="str">
        <f>Jogo!AN63</f>
        <v>Russia</v>
      </c>
      <c r="O65" s="27">
        <f>VLOOKUP(N65,Jogo!$A$61:$I$64,2,FALSE)</f>
        <v>0</v>
      </c>
      <c r="P65" s="27">
        <f>VLOOKUP(N65,Jogo!$A$61:$I$64,3,FALSE)</f>
        <v>0</v>
      </c>
      <c r="Q65" s="27">
        <f>VLOOKUP(N65,Jogo!$A$61:$I$64,4,FALSE)</f>
        <v>0</v>
      </c>
      <c r="R65" s="27">
        <f>VLOOKUP(N65,Jogo!$A$61:$I$64,5,FALSE)</f>
        <v>0</v>
      </c>
      <c r="S65" s="27">
        <f>VLOOKUP(N65,Jogo!$A$61:$I$64,6,FALSE)</f>
        <v>0</v>
      </c>
      <c r="T65" s="27">
        <f>VLOOKUP(N65,Jogo!$A$61:$I$64,7,FALSE)</f>
        <v>0</v>
      </c>
      <c r="U65" s="27">
        <f>VLOOKUP(N65,Jogo!$A$61:$I$64,8,FALSE)</f>
        <v>0</v>
      </c>
      <c r="V65" s="80">
        <f>VLOOKUP(N65,Jogo!$A$61:$I$64,9,FALSE)</f>
        <v>0</v>
      </c>
    </row>
    <row r="66" spans="1:22" ht="12.75">
      <c r="A66" s="117">
        <v>41816</v>
      </c>
      <c r="B66" s="113">
        <v>1700</v>
      </c>
      <c r="C66" s="76" t="str">
        <f>Jogo!A62</f>
        <v>Argélia</v>
      </c>
      <c r="D66" s="103"/>
      <c r="E66" s="17"/>
      <c r="F66" s="12"/>
      <c r="G66" s="13" t="s">
        <v>37</v>
      </c>
      <c r="H66" s="14"/>
      <c r="I66" s="15"/>
      <c r="J66" s="104"/>
      <c r="K66" s="77" t="str">
        <f>Jogo!A63</f>
        <v>Russia</v>
      </c>
      <c r="L66" s="114" t="s">
        <v>75</v>
      </c>
      <c r="M66" s="28"/>
      <c r="N66" s="81" t="str">
        <f>Jogo!AN64</f>
        <v>Coreia do Sul</v>
      </c>
      <c r="O66" s="29">
        <f>VLOOKUP(N66,Jogo!$A$61:$I$64,2,FALSE)</f>
        <v>0</v>
      </c>
      <c r="P66" s="29">
        <f>VLOOKUP(N66,Jogo!$A$61:$I$64,3,FALSE)</f>
        <v>0</v>
      </c>
      <c r="Q66" s="29">
        <f>VLOOKUP(N66,Jogo!$A$61:$I$64,4,FALSE)</f>
        <v>0</v>
      </c>
      <c r="R66" s="29">
        <f>VLOOKUP(N66,Jogo!$A$61:$I$64,5,FALSE)</f>
        <v>0</v>
      </c>
      <c r="S66" s="29">
        <f>VLOOKUP(N66,Jogo!$A$61:$I$64,6,FALSE)</f>
        <v>0</v>
      </c>
      <c r="T66" s="29">
        <f>VLOOKUP(N66,Jogo!$A$61:$I$64,7,FALSE)</f>
        <v>0</v>
      </c>
      <c r="U66" s="29">
        <f>VLOOKUP(N66,Jogo!$A$61:$I$64,8,FALSE)</f>
        <v>0</v>
      </c>
      <c r="V66" s="82">
        <f>VLOOKUP(N66,Jogo!$A$61:$I$64,9,FALSE)</f>
        <v>0</v>
      </c>
    </row>
    <row r="67" spans="3:12" ht="12.75">
      <c r="C67" s="3"/>
      <c r="D67" s="3"/>
      <c r="E67" s="34"/>
      <c r="F67" s="34"/>
      <c r="G67" s="34"/>
      <c r="H67" s="34"/>
      <c r="I67" s="34"/>
      <c r="J67" s="34"/>
      <c r="K67" s="3"/>
      <c r="L67" s="118"/>
    </row>
    <row r="68" ht="18.75" customHeight="1"/>
    <row r="69" spans="1:22" ht="13.5">
      <c r="A69" s="75" t="s">
        <v>20</v>
      </c>
      <c r="B69" s="62"/>
      <c r="C69" s="36"/>
      <c r="D69" s="106" t="s">
        <v>58</v>
      </c>
      <c r="E69" s="90" t="s">
        <v>58</v>
      </c>
      <c r="F69" s="146" t="s">
        <v>39</v>
      </c>
      <c r="G69" s="146"/>
      <c r="H69" s="146"/>
      <c r="I69" s="90" t="s">
        <v>58</v>
      </c>
      <c r="J69" s="107" t="s">
        <v>58</v>
      </c>
      <c r="K69" s="36"/>
      <c r="L69" s="124" t="s">
        <v>64</v>
      </c>
      <c r="N69" s="37" t="s">
        <v>40</v>
      </c>
      <c r="O69" s="147" t="s">
        <v>59</v>
      </c>
      <c r="P69" s="147"/>
      <c r="Q69" s="147"/>
      <c r="R69" s="147"/>
      <c r="S69" s="147"/>
      <c r="T69" s="147"/>
      <c r="U69" s="147"/>
      <c r="V69" s="147"/>
    </row>
    <row r="70" spans="1:15" ht="13.5">
      <c r="A70" s="126">
        <v>41818</v>
      </c>
      <c r="B70" s="119">
        <v>1300</v>
      </c>
      <c r="C70" s="78" t="str">
        <f>IF(P7=3,N7,"1º do grupo A")</f>
        <v>1º do grupo A</v>
      </c>
      <c r="D70" s="39"/>
      <c r="E70" s="39"/>
      <c r="F70" s="39"/>
      <c r="G70" s="24" t="s">
        <v>37</v>
      </c>
      <c r="H70" s="14"/>
      <c r="I70" s="14"/>
      <c r="J70" s="14"/>
      <c r="K70" s="78" t="str">
        <f>IF(P16=3,N16,"2º do grupo B")</f>
        <v>2º do grupo B</v>
      </c>
      <c r="L70" s="114" t="s">
        <v>77</v>
      </c>
      <c r="M70" s="120">
        <v>1</v>
      </c>
      <c r="N70" s="37" t="s">
        <v>40</v>
      </c>
      <c r="O70" s="108" t="s">
        <v>61</v>
      </c>
    </row>
    <row r="71" spans="1:22" ht="13.5">
      <c r="A71" s="126">
        <v>41818</v>
      </c>
      <c r="B71" s="119">
        <v>1700</v>
      </c>
      <c r="C71" s="78" t="str">
        <f>IF(P23=3,N23,"1º do grupo C")</f>
        <v>1º do grupo C</v>
      </c>
      <c r="D71" s="39"/>
      <c r="E71" s="39"/>
      <c r="F71" s="39"/>
      <c r="G71" s="24" t="s">
        <v>37</v>
      </c>
      <c r="H71" s="14"/>
      <c r="I71" s="14"/>
      <c r="J71" s="14"/>
      <c r="K71" s="78" t="str">
        <f>IF(P32=3,N32,"2º do grupo D")</f>
        <v>2º do grupo D</v>
      </c>
      <c r="L71" s="114" t="s">
        <v>73</v>
      </c>
      <c r="M71" s="120">
        <v>3</v>
      </c>
      <c r="N71" s="37" t="s">
        <v>40</v>
      </c>
      <c r="O71" s="102" t="s">
        <v>45</v>
      </c>
      <c r="P71" s="102"/>
      <c r="Q71" s="102"/>
      <c r="R71" s="102"/>
      <c r="S71" s="102"/>
      <c r="T71" s="102"/>
      <c r="U71" s="102"/>
      <c r="V71" s="102"/>
    </row>
    <row r="72" spans="1:22" ht="13.5">
      <c r="A72" s="126">
        <v>41819</v>
      </c>
      <c r="B72" s="119">
        <v>1300</v>
      </c>
      <c r="C72" s="78" t="str">
        <f>IF(P15=3,N15,"1º do grupo B")</f>
        <v>1º do grupo B</v>
      </c>
      <c r="D72" s="39"/>
      <c r="E72" s="39"/>
      <c r="F72" s="39"/>
      <c r="G72" s="24" t="s">
        <v>37</v>
      </c>
      <c r="H72" s="14"/>
      <c r="I72" s="14"/>
      <c r="J72" s="14"/>
      <c r="K72" s="78" t="str">
        <f>IF(P8=3,N8,"2º do grupo A")</f>
        <v>2º do grupo A</v>
      </c>
      <c r="L72" s="114" t="s">
        <v>67</v>
      </c>
      <c r="M72" s="120">
        <v>5</v>
      </c>
      <c r="N72" s="37" t="s">
        <v>40</v>
      </c>
      <c r="O72" s="101" t="s">
        <v>44</v>
      </c>
      <c r="P72" s="101"/>
      <c r="Q72" s="101"/>
      <c r="R72" s="101"/>
      <c r="S72" s="101"/>
      <c r="T72" s="101"/>
      <c r="U72" s="101"/>
      <c r="V72" s="101"/>
    </row>
    <row r="73" spans="1:22" ht="13.5">
      <c r="A73" s="126">
        <v>41819</v>
      </c>
      <c r="B73" s="119">
        <v>1700</v>
      </c>
      <c r="C73" s="78" t="str">
        <f>IF(P31=3,N31,"1º do grupo D")</f>
        <v>1º do grupo D</v>
      </c>
      <c r="D73" s="39"/>
      <c r="E73" s="39"/>
      <c r="F73" s="39"/>
      <c r="G73" s="24" t="s">
        <v>37</v>
      </c>
      <c r="H73" s="14"/>
      <c r="I73" s="14"/>
      <c r="J73" s="14"/>
      <c r="K73" s="78" t="str">
        <f>IF(P24=3,N24,"2º do grupo C")</f>
        <v>2º do grupo C</v>
      </c>
      <c r="L73" s="114" t="s">
        <v>70</v>
      </c>
      <c r="M73" s="120">
        <v>7</v>
      </c>
      <c r="N73" s="37" t="s">
        <v>40</v>
      </c>
      <c r="O73" s="121" t="s">
        <v>43</v>
      </c>
      <c r="P73" s="121"/>
      <c r="Q73" s="121"/>
      <c r="R73" s="121"/>
      <c r="S73" s="121"/>
      <c r="T73" s="121"/>
      <c r="U73" s="121"/>
      <c r="V73" s="121"/>
    </row>
    <row r="74" spans="1:22" ht="13.5">
      <c r="A74" s="126">
        <v>41820</v>
      </c>
      <c r="B74" s="119">
        <v>1300</v>
      </c>
      <c r="C74" s="78" t="str">
        <f>IF(P39=3,N39,"1º do grupo E")</f>
        <v>1º do grupo E</v>
      </c>
      <c r="D74" s="39"/>
      <c r="E74" s="39"/>
      <c r="F74" s="39"/>
      <c r="G74" s="24" t="s">
        <v>37</v>
      </c>
      <c r="H74" s="14"/>
      <c r="I74" s="14"/>
      <c r="J74" s="14"/>
      <c r="K74" s="78" t="str">
        <f>IF(P48=3,N48,"2º do grupo F")</f>
        <v>2º do grupo F</v>
      </c>
      <c r="L74" s="114" t="s">
        <v>69</v>
      </c>
      <c r="M74" s="120">
        <v>2</v>
      </c>
      <c r="N74" s="37" t="s">
        <v>40</v>
      </c>
      <c r="O74" s="145" t="s">
        <v>55</v>
      </c>
      <c r="P74" s="145"/>
      <c r="Q74" s="145"/>
      <c r="R74" s="145"/>
      <c r="S74" s="145"/>
      <c r="T74" s="145"/>
      <c r="U74" s="145"/>
      <c r="V74" s="145"/>
    </row>
    <row r="75" spans="1:22" ht="13.5">
      <c r="A75" s="126">
        <v>41820</v>
      </c>
      <c r="B75" s="119">
        <v>1700</v>
      </c>
      <c r="C75" s="78" t="str">
        <f>IF(P55=3,N55,"1º do grupo G")</f>
        <v>1º do grupo G</v>
      </c>
      <c r="D75" s="39"/>
      <c r="E75" s="39"/>
      <c r="F75" s="39"/>
      <c r="G75" s="24" t="s">
        <v>37</v>
      </c>
      <c r="H75" s="14"/>
      <c r="I75" s="14"/>
      <c r="J75" s="14"/>
      <c r="K75" s="78" t="str">
        <f>IF(P64=3,N64,"2º do grupo H")</f>
        <v>2º do grupo H</v>
      </c>
      <c r="L75" s="114" t="s">
        <v>74</v>
      </c>
      <c r="M75" s="120">
        <v>4</v>
      </c>
      <c r="N75" s="37"/>
      <c r="O75" s="142"/>
      <c r="P75" s="144"/>
      <c r="Q75" s="144"/>
      <c r="R75" s="144"/>
      <c r="S75" s="144"/>
      <c r="T75" s="144"/>
      <c r="U75" s="144"/>
      <c r="V75" s="144"/>
    </row>
    <row r="76" spans="1:22" ht="13.5">
      <c r="A76" s="126" t="s">
        <v>78</v>
      </c>
      <c r="B76" s="119">
        <v>1300</v>
      </c>
      <c r="C76" s="78" t="str">
        <f>IF(P47=3,N47,"1º do grupo F")</f>
        <v>1º do grupo F</v>
      </c>
      <c r="D76" s="39"/>
      <c r="E76" s="39"/>
      <c r="F76" s="39"/>
      <c r="G76" s="24" t="s">
        <v>37</v>
      </c>
      <c r="H76" s="14"/>
      <c r="I76" s="14"/>
      <c r="J76" s="14"/>
      <c r="K76" s="78" t="str">
        <f>IF(P40=3,N40,"2º do grupo E")</f>
        <v>2º do grupo E</v>
      </c>
      <c r="L76" s="114" t="s">
        <v>76</v>
      </c>
      <c r="M76" s="120">
        <v>6</v>
      </c>
      <c r="N76" s="37"/>
      <c r="O76" s="142"/>
      <c r="P76" s="143"/>
      <c r="Q76" s="143"/>
      <c r="R76" s="143"/>
      <c r="S76" s="143"/>
      <c r="T76" s="143"/>
      <c r="U76" s="143"/>
      <c r="V76" s="143"/>
    </row>
    <row r="77" spans="1:22" ht="13.5">
      <c r="A77" s="126">
        <v>41821</v>
      </c>
      <c r="B77" s="119">
        <v>1700</v>
      </c>
      <c r="C77" s="78" t="str">
        <f>IF(P63=3,N63,"1º do grupo H")</f>
        <v>1º do grupo H</v>
      </c>
      <c r="D77" s="39"/>
      <c r="E77" s="39"/>
      <c r="F77" s="39"/>
      <c r="G77" s="24" t="s">
        <v>37</v>
      </c>
      <c r="H77" s="14"/>
      <c r="I77" s="14"/>
      <c r="J77" s="14"/>
      <c r="K77" s="78" t="str">
        <f>IF(P56=3,N56,"2º do grupo G")</f>
        <v>2º do grupo G</v>
      </c>
      <c r="L77" s="114" t="s">
        <v>71</v>
      </c>
      <c r="M77" s="120">
        <v>8</v>
      </c>
      <c r="N77" s="37"/>
      <c r="O77" s="142"/>
      <c r="P77" s="144"/>
      <c r="Q77" s="144"/>
      <c r="R77" s="144"/>
      <c r="S77" s="144"/>
      <c r="T77" s="144"/>
      <c r="U77" s="144"/>
      <c r="V77" s="144"/>
    </row>
    <row r="78" spans="1:13" ht="13.5">
      <c r="A78" s="63"/>
      <c r="B78" s="64"/>
      <c r="C78" s="40"/>
      <c r="D78" s="40"/>
      <c r="E78" s="41"/>
      <c r="F78" s="42"/>
      <c r="G78" s="42"/>
      <c r="H78" s="42"/>
      <c r="I78" s="42"/>
      <c r="J78" s="42"/>
      <c r="K78" s="40"/>
      <c r="L78" s="43"/>
      <c r="M78" s="109"/>
    </row>
    <row r="79" spans="1:13" ht="12.75" customHeight="1">
      <c r="A79" s="74" t="s">
        <v>21</v>
      </c>
      <c r="B79" s="65"/>
      <c r="C79" s="45"/>
      <c r="D79" s="45"/>
      <c r="E79" s="46"/>
      <c r="F79" s="47"/>
      <c r="G79" s="47"/>
      <c r="H79" s="47"/>
      <c r="I79" s="47"/>
      <c r="J79" s="47"/>
      <c r="K79" s="45"/>
      <c r="L79" s="124" t="s">
        <v>64</v>
      </c>
      <c r="M79" s="109"/>
    </row>
    <row r="80" spans="1:28" ht="12.75" customHeight="1">
      <c r="A80" s="126">
        <v>41824</v>
      </c>
      <c r="B80" s="119">
        <v>1700</v>
      </c>
      <c r="C80" s="78" t="str">
        <f>IF(W80=FALSE,X80,W80)</f>
        <v>Vencedor do 1</v>
      </c>
      <c r="D80" s="39"/>
      <c r="E80" s="39"/>
      <c r="F80" s="39"/>
      <c r="G80" s="24" t="s">
        <v>37</v>
      </c>
      <c r="H80" s="14"/>
      <c r="I80" s="14"/>
      <c r="J80" s="14"/>
      <c r="K80" s="78" t="str">
        <f>IF(Z80=FALSE,AA80,Z80)</f>
        <v>Vencedor do 3</v>
      </c>
      <c r="L80" s="114" t="s">
        <v>67</v>
      </c>
      <c r="M80" s="109" t="s">
        <v>22</v>
      </c>
      <c r="N80" s="110"/>
      <c r="O80" s="152">
        <f>IF(OR($F$93="",$H$93="",AND($F$93=$H$93,OR($E$93="",$I$93=""))),"",IF($F$93=$H$93,IF($E$93&gt;$I$93,$C$93,$K$93),IF($F$93&gt;$H$93,$C$93,$K$93)))</f>
      </c>
      <c r="P80" s="152"/>
      <c r="Q80" s="152"/>
      <c r="R80" s="152"/>
      <c r="S80" s="152"/>
      <c r="T80" s="152"/>
      <c r="U80" s="152"/>
      <c r="W80" s="112" t="str">
        <f>IF(OR(F70="",H70="",AND(F70=H70,OR(E70="",I70="")),OR(AND(F70=H70,E70=I70,OR(D70=J70,D70="",J70="")))),"Vencedor do 1")</f>
        <v>Vencedor do 1</v>
      </c>
      <c r="X80" s="112" t="b">
        <f>IF(F70&gt;H70,C70,IF(H70&gt;F70,K70,IF(E70&gt;I70,C70,IF(I70&gt;E70,K70,IF(D70&gt;J70,C70,IF(J70&gt;D70,K70))))))</f>
        <v>0</v>
      </c>
      <c r="Y80" s="112"/>
      <c r="Z80" s="112" t="str">
        <f>IF(OR(F71="",H71="",AND(F71=H71,OR(E71="",I71="")),OR(AND(F71=H71,E71=I71,OR(D71=J71,D71="",J71="")))),"Vencedor do 3")</f>
        <v>Vencedor do 3</v>
      </c>
      <c r="AA80" s="112" t="b">
        <f>IF(F71&gt;H71,C71,IF(H71&gt;F71,K71,IF(E71&gt;I71,C71,IF(I71&gt;E71,K71,IF(D71&gt;J71,C71,IF(J71&gt;D71,K71))))))</f>
        <v>0</v>
      </c>
      <c r="AB80" s="111"/>
    </row>
    <row r="81" spans="1:28" ht="12.75" customHeight="1">
      <c r="A81" s="126">
        <v>41824</v>
      </c>
      <c r="B81" s="119">
        <v>1300</v>
      </c>
      <c r="C81" s="78" t="str">
        <f>IF(W81=FALSE,X81,W81)</f>
        <v>Vencedor do 5</v>
      </c>
      <c r="D81" s="39"/>
      <c r="E81" s="39"/>
      <c r="F81" s="39"/>
      <c r="G81" s="24" t="s">
        <v>37</v>
      </c>
      <c r="H81" s="14"/>
      <c r="I81" s="14"/>
      <c r="J81" s="14"/>
      <c r="K81" s="78" t="str">
        <f>IF(Z81=FALSE,AA81,Z81)</f>
        <v>Vencedor do 7</v>
      </c>
      <c r="L81" s="114" t="s">
        <v>73</v>
      </c>
      <c r="M81" s="109" t="s">
        <v>24</v>
      </c>
      <c r="N81" s="44"/>
      <c r="O81" s="152"/>
      <c r="P81" s="152"/>
      <c r="Q81" s="152"/>
      <c r="R81" s="152"/>
      <c r="S81" s="152"/>
      <c r="T81" s="152"/>
      <c r="U81" s="152"/>
      <c r="W81" s="112" t="str">
        <f>IF(OR(F72="",H72="",AND(F72=H72,OR(E72="",I72="")),OR(AND(F72=H72,E72=I72,OR(D72=J72,D72="",J72="")))),"Vencedor do 5")</f>
        <v>Vencedor do 5</v>
      </c>
      <c r="X81" s="112" t="b">
        <f>IF(F72&gt;H72,C72,IF(H72&gt;F72,K72,IF(E72&gt;I72,C72,IF(I72&gt;E72,K72,IF(D72&gt;J72,C72,IF(J72&gt;D72,K72))))))</f>
        <v>0</v>
      </c>
      <c r="Y81" s="112"/>
      <c r="Z81" s="112" t="str">
        <f>IF(OR(F73="",H73="",AND(F73=H73,OR(E73="",I73="")),OR(AND(F73=H73,E73=I73,OR(D73=J73,D73="",J73="")))),"Vencedor do 7")</f>
        <v>Vencedor do 7</v>
      </c>
      <c r="AA81" s="112" t="b">
        <f>IF(F73&gt;H73,C73,IF(H73&gt;F73,K73,IF(E73&gt;I73,C73,IF(I73&gt;E73,K73,IF(D73&gt;J73,C73,IF(J73&gt;D73,K73))))))</f>
        <v>0</v>
      </c>
      <c r="AB81" s="111"/>
    </row>
    <row r="82" spans="1:28" ht="12.75" customHeight="1">
      <c r="A82" s="126">
        <v>41825</v>
      </c>
      <c r="B82" s="119">
        <v>1700</v>
      </c>
      <c r="C82" s="78" t="str">
        <f>IF(W82=FALSE,X82,W82)</f>
        <v>Vencedor do 2</v>
      </c>
      <c r="D82" s="39"/>
      <c r="E82" s="39"/>
      <c r="F82" s="39"/>
      <c r="G82" s="24" t="s">
        <v>37</v>
      </c>
      <c r="H82" s="14"/>
      <c r="I82" s="14"/>
      <c r="J82" s="14"/>
      <c r="K82" s="78" t="str">
        <f>IF(Z82=FALSE,AA82,Z82)</f>
        <v>Vencedor do 4</v>
      </c>
      <c r="L82" s="114" t="s">
        <v>71</v>
      </c>
      <c r="M82" s="109" t="s">
        <v>23</v>
      </c>
      <c r="N82" s="38"/>
      <c r="O82" s="151" t="str">
        <f>IF(O80="","  ","É a Seleção campeã da Copa do Mundo de 2014")</f>
        <v>  </v>
      </c>
      <c r="P82" s="151"/>
      <c r="Q82" s="151"/>
      <c r="R82" s="151"/>
      <c r="S82" s="151"/>
      <c r="T82" s="151"/>
      <c r="U82" s="151"/>
      <c r="W82" s="112" t="str">
        <f>IF(OR(F74="",H74="",AND(F74=H74,OR(E74="",I74="")),OR(AND(F74=H74,E74=I74,OR(D74=J74,D74="",J74="")))),"Vencedor do 2")</f>
        <v>Vencedor do 2</v>
      </c>
      <c r="X82" s="112" t="b">
        <f>IF(F74&gt;H74,C74,IF(H74&gt;F74,K74,IF(E74&gt;I74,C74,IF(I74&gt;E74,K74,IF(D74&gt;J74,C74,IF(J74&gt;D74,K74))))))</f>
        <v>0</v>
      </c>
      <c r="Y82" s="112"/>
      <c r="Z82" s="112" t="str">
        <f>IF(OR(F75="",H75="",AND(F75=H75,OR(E75="",I75="")),OR(AND(F75=H75,E75=I75,OR(D75=J75,D75="",J75="")))),"Vencedor do 4")</f>
        <v>Vencedor do 4</v>
      </c>
      <c r="AA82" s="112" t="b">
        <f>IF(F75&gt;H75,C75,IF(H75&gt;F75,K75,IF(E75&gt;I75,C75,IF(I75&gt;E75,K75,IF(D75&gt;J75,C75,IF(J75&gt;D75,K75))))))</f>
        <v>0</v>
      </c>
      <c r="AB82" s="111"/>
    </row>
    <row r="83" spans="1:28" ht="12.75" customHeight="1">
      <c r="A83" s="126">
        <v>41825</v>
      </c>
      <c r="B83" s="119">
        <v>1300</v>
      </c>
      <c r="C83" s="78" t="str">
        <f>IF(W83=FALSE,X83,W83)</f>
        <v>Vencedor do 6</v>
      </c>
      <c r="D83" s="39"/>
      <c r="E83" s="39"/>
      <c r="F83" s="39"/>
      <c r="G83" s="24" t="s">
        <v>37</v>
      </c>
      <c r="H83" s="14"/>
      <c r="I83" s="14"/>
      <c r="J83" s="14"/>
      <c r="K83" s="78" t="str">
        <f>IF(Z83=FALSE,AA83,Z83)</f>
        <v>Vencedor do 8</v>
      </c>
      <c r="L83" s="114" t="s">
        <v>69</v>
      </c>
      <c r="M83" s="109" t="s">
        <v>3</v>
      </c>
      <c r="O83" s="151"/>
      <c r="P83" s="151"/>
      <c r="Q83" s="151"/>
      <c r="R83" s="151"/>
      <c r="S83" s="151"/>
      <c r="T83" s="151"/>
      <c r="U83" s="151"/>
      <c r="W83" s="112" t="str">
        <f>IF(OR(F76="",H76="",AND(F76=H76,OR(E76="",I76="")),OR(AND(F76=H76,E76=I76,OR(D76=J76,D76="",J76="")))),"Vencedor do 6")</f>
        <v>Vencedor do 6</v>
      </c>
      <c r="X83" s="112" t="b">
        <f>IF(F76&gt;H76,C76,IF(H76&gt;F76,K76,IF(E76&gt;I76,C76,IF(I76&gt;E76,K76,IF(D76&gt;J76,C76,IF(J76&gt;D76,K76))))))</f>
        <v>0</v>
      </c>
      <c r="Y83" s="112"/>
      <c r="Z83" s="112" t="str">
        <f>IF(OR(F77="",H77="",AND(F77=H77,OR(E77="",I77="")),OR(AND(F77=H77,E77=I77,OR(D77=J77,D77="",J77="")))),"Vencedor do 8")</f>
        <v>Vencedor do 8</v>
      </c>
      <c r="AA83" s="112" t="b">
        <f>IF(F77&gt;H77,C77,IF(H77&gt;F77,K77,IF(E77&gt;I77,C77,IF(I77&gt;E77,K77,IF(D77&gt;J77,C77,IF(J77&gt;D77,K77))))))</f>
        <v>0</v>
      </c>
      <c r="AB83" s="111"/>
    </row>
    <row r="84" spans="1:28" ht="12.75" customHeight="1">
      <c r="A84" s="63"/>
      <c r="B84" s="64"/>
      <c r="C84" s="48"/>
      <c r="D84" s="48"/>
      <c r="E84" s="49"/>
      <c r="F84" s="32"/>
      <c r="G84" s="32"/>
      <c r="H84" s="32"/>
      <c r="I84" s="32"/>
      <c r="J84" s="32"/>
      <c r="K84" s="48"/>
      <c r="L84" s="43"/>
      <c r="M84" s="109"/>
      <c r="O84" s="151"/>
      <c r="P84" s="151"/>
      <c r="Q84" s="151"/>
      <c r="R84" s="151"/>
      <c r="S84" s="151"/>
      <c r="T84" s="151"/>
      <c r="U84" s="151"/>
      <c r="W84" s="112"/>
      <c r="X84" s="112"/>
      <c r="Y84" s="112"/>
      <c r="Z84" s="112"/>
      <c r="AA84" s="112"/>
      <c r="AB84" s="111"/>
    </row>
    <row r="85" spans="1:28" ht="12.75" customHeight="1">
      <c r="A85" s="73" t="s">
        <v>25</v>
      </c>
      <c r="B85" s="65"/>
      <c r="C85" s="50"/>
      <c r="D85" s="50"/>
      <c r="E85" s="51"/>
      <c r="F85" s="52"/>
      <c r="G85" s="52"/>
      <c r="H85" s="52"/>
      <c r="I85" s="52"/>
      <c r="J85" s="52"/>
      <c r="K85" s="50"/>
      <c r="L85" s="124" t="s">
        <v>64</v>
      </c>
      <c r="M85" s="109"/>
      <c r="O85" s="151"/>
      <c r="P85" s="151"/>
      <c r="Q85" s="151"/>
      <c r="R85" s="151"/>
      <c r="S85" s="151"/>
      <c r="T85" s="151"/>
      <c r="U85" s="151"/>
      <c r="W85" s="112"/>
      <c r="X85" s="112"/>
      <c r="Y85" s="112"/>
      <c r="Z85" s="112"/>
      <c r="AA85" s="112"/>
      <c r="AB85" s="111"/>
    </row>
    <row r="86" spans="1:28" ht="12.75" customHeight="1">
      <c r="A86" s="126">
        <v>41828</v>
      </c>
      <c r="B86" s="119">
        <v>1700</v>
      </c>
      <c r="C86" s="78" t="str">
        <f>IF(W86=FALSE,X86,W86)</f>
        <v>Vencedor do A</v>
      </c>
      <c r="D86" s="39"/>
      <c r="E86" s="39"/>
      <c r="F86" s="39"/>
      <c r="G86" s="24" t="s">
        <v>37</v>
      </c>
      <c r="H86" s="14"/>
      <c r="I86" s="14"/>
      <c r="J86" s="14"/>
      <c r="K86" s="78" t="str">
        <f>IF(Z86=FALSE,AA86,Z86)</f>
        <v>Vencedor do C</v>
      </c>
      <c r="L86" s="114" t="s">
        <v>77</v>
      </c>
      <c r="M86" s="109" t="s">
        <v>46</v>
      </c>
      <c r="O86" s="151"/>
      <c r="P86" s="151"/>
      <c r="Q86" s="151"/>
      <c r="R86" s="151"/>
      <c r="S86" s="151"/>
      <c r="T86" s="151"/>
      <c r="U86" s="151"/>
      <c r="W86" s="112" t="str">
        <f>IF(OR(F80="",H80="",AND(F80=H80,OR(E80="",I80="")),OR(AND(F80=H80,E80=I80,OR(D80=J80,D80="",J80="")))),"Vencedor do A")</f>
        <v>Vencedor do A</v>
      </c>
      <c r="X86" s="112" t="b">
        <f>IF(F80&gt;H80,C80,IF(H80&gt;F80,K80,IF(E80&gt;I80,C80,IF(I80&gt;E80,K80,IF(D80&gt;J80,C80,IF(J80&gt;D80,K80))))))</f>
        <v>0</v>
      </c>
      <c r="Y86" s="112"/>
      <c r="Z86" s="112" t="str">
        <f>IF(OR(F81="",H81="",AND(F81=H81,OR(E81="",I81="")),OR(AND(F81=H81,E81=I81,OR(D81=J81,D81="",J81="")))),"Vencedor do C")</f>
        <v>Vencedor do C</v>
      </c>
      <c r="AA86" s="112" t="b">
        <f>IF(F81&gt;H81,C81,IF(H81&gt;F81,K81,IF(E81&gt;I81,C81,IF(I81&gt;E81,K81,IF(D81&gt;J81,C81,IF(J81&gt;D81,K81))))))</f>
        <v>0</v>
      </c>
      <c r="AB86" s="111"/>
    </row>
    <row r="87" spans="1:28" ht="12" customHeight="1">
      <c r="A87" s="126">
        <v>41829</v>
      </c>
      <c r="B87" s="119">
        <v>1700</v>
      </c>
      <c r="C87" s="78" t="str">
        <f>IF(W87=FALSE,X87,W87)</f>
        <v>Vencedor do B</v>
      </c>
      <c r="D87" s="39"/>
      <c r="E87" s="39"/>
      <c r="F87" s="39"/>
      <c r="G87" s="24" t="s">
        <v>37</v>
      </c>
      <c r="H87" s="14"/>
      <c r="I87" s="14"/>
      <c r="J87" s="14"/>
      <c r="K87" s="78" t="str">
        <f>IF(Z87=FALSE,AA87,Z87)</f>
        <v>Vencedor do D</v>
      </c>
      <c r="L87" s="114" t="s">
        <v>65</v>
      </c>
      <c r="M87" s="109" t="s">
        <v>47</v>
      </c>
      <c r="O87" s="151"/>
      <c r="P87" s="151"/>
      <c r="Q87" s="151"/>
      <c r="R87" s="151"/>
      <c r="S87" s="151"/>
      <c r="T87" s="151"/>
      <c r="U87" s="151"/>
      <c r="W87" s="112" t="str">
        <f>IF(OR(F82="",H82="",AND(F82=H82,OR(E82="",I82="")),OR(AND(F82=H82,E82=I82,OR(D82=J82,D82="",J82="")))),"Vencedor do B")</f>
        <v>Vencedor do B</v>
      </c>
      <c r="X87" s="112" t="b">
        <f>IF(F82&gt;H82,C82,IF(H82&gt;F82,K82,IF(E82&gt;I82,C82,IF(I82&gt;E82,K82,IF(D82&gt;J82,C82,IF(J82&gt;D82,K82))))))</f>
        <v>0</v>
      </c>
      <c r="Y87" s="112"/>
      <c r="Z87" s="112" t="str">
        <f>IF(OR(F83="",H83="",AND(F83=H83,OR(E83="",I83="")),OR(AND(F83=H83,E83=I83,OR(D83=J83,D83="",J83="")))),"Vencedor do D")</f>
        <v>Vencedor do D</v>
      </c>
      <c r="AA87" s="112" t="b">
        <f>IF(F83&gt;H83,C83,IF(H83&gt;F83,K83,IF(E83&gt;I83,C83,IF(I83&gt;E83,K83,IF(D83&gt;J83,C83,IF(J83&gt;D83,K83))))))</f>
        <v>0</v>
      </c>
      <c r="AB87" s="111"/>
    </row>
    <row r="88" spans="1:28" ht="12.75" customHeight="1">
      <c r="A88" s="63"/>
      <c r="B88" s="64"/>
      <c r="C88" s="38"/>
      <c r="D88" s="38"/>
      <c r="E88" s="53"/>
      <c r="F88" s="32"/>
      <c r="G88" s="32"/>
      <c r="H88" s="32"/>
      <c r="I88" s="32"/>
      <c r="J88" s="32"/>
      <c r="K88" s="38"/>
      <c r="L88" s="43"/>
      <c r="M88" s="109"/>
      <c r="O88" s="151"/>
      <c r="P88" s="151"/>
      <c r="Q88" s="151"/>
      <c r="R88" s="151"/>
      <c r="S88" s="151"/>
      <c r="T88" s="151"/>
      <c r="U88" s="151"/>
      <c r="W88" s="112"/>
      <c r="X88" s="112"/>
      <c r="Y88" s="112"/>
      <c r="Z88" s="112"/>
      <c r="AA88" s="112"/>
      <c r="AB88" s="111"/>
    </row>
    <row r="89" spans="1:28" ht="12.75" customHeight="1">
      <c r="A89" s="66" t="s">
        <v>26</v>
      </c>
      <c r="B89" s="62"/>
      <c r="C89" s="36"/>
      <c r="D89" s="36"/>
      <c r="E89" s="54"/>
      <c r="F89" s="54"/>
      <c r="G89" s="54"/>
      <c r="H89" s="54"/>
      <c r="I89" s="54"/>
      <c r="J89" s="54"/>
      <c r="K89" s="36"/>
      <c r="L89" s="124" t="s">
        <v>64</v>
      </c>
      <c r="M89" s="109"/>
      <c r="O89" s="151"/>
      <c r="P89" s="151"/>
      <c r="Q89" s="151"/>
      <c r="R89" s="151"/>
      <c r="S89" s="151"/>
      <c r="T89" s="151"/>
      <c r="U89" s="151"/>
      <c r="W89" s="112"/>
      <c r="X89" s="112"/>
      <c r="Y89" s="112"/>
      <c r="Z89" s="112"/>
      <c r="AA89" s="112"/>
      <c r="AB89" s="111"/>
    </row>
    <row r="90" spans="1:28" ht="15.75" customHeight="1">
      <c r="A90" s="126">
        <v>41832</v>
      </c>
      <c r="B90" s="119">
        <v>1700</v>
      </c>
      <c r="C90" s="78" t="str">
        <f>IF(W90=FALSE,X90,W90)</f>
        <v>Perdedor do AC</v>
      </c>
      <c r="D90" s="39"/>
      <c r="E90" s="39"/>
      <c r="F90" s="39"/>
      <c r="G90" s="24" t="s">
        <v>37</v>
      </c>
      <c r="H90" s="14"/>
      <c r="I90" s="14"/>
      <c r="J90" s="14"/>
      <c r="K90" s="78" t="str">
        <f>IF(Z90=FALSE,AA90,Z90)</f>
        <v>Perdedor do BD</v>
      </c>
      <c r="L90" s="114" t="s">
        <v>69</v>
      </c>
      <c r="M90" s="109" t="s">
        <v>27</v>
      </c>
      <c r="O90" s="151"/>
      <c r="P90" s="151"/>
      <c r="Q90" s="151"/>
      <c r="R90" s="151"/>
      <c r="S90" s="151"/>
      <c r="T90" s="151"/>
      <c r="U90" s="151"/>
      <c r="W90" s="112" t="str">
        <f>IF(OR(F86="",H86="",AND(F86=H86,OR(E86="",I86="")),OR(AND(F86=H86,E86=I86,OR(D86=J86,D86="",J86="")))),"Perdedor do AC")</f>
        <v>Perdedor do AC</v>
      </c>
      <c r="X90" s="112" t="b">
        <f>IF(F86&lt;H86,C86,IF(H86&lt;F86,K86,IF(E86&lt;I86,C86,IF(I86&lt;E86,K86,IF(D86&lt;J86,C86,IF(J86&lt;D86,K86))))))</f>
        <v>0</v>
      </c>
      <c r="Y90" s="112"/>
      <c r="Z90" s="112" t="str">
        <f>IF(OR(F87="",H87="",AND(F87=H87,OR(E87="",I87="")),OR(AND(F87=H87,E87=I87,OR(D87=J87,D87="",J87="")))),"Perdedor do BD")</f>
        <v>Perdedor do BD</v>
      </c>
      <c r="AA90" s="112" t="b">
        <f>IF(F87&lt;H87,C87,IF(H87&lt;F87,K87,IF(E87&lt;I87,C87,IF(I87&lt;E87,K87,IF(D87&lt;J87,C87,IF(J87&lt;D87,K87))))))</f>
        <v>0</v>
      </c>
      <c r="AB90" s="111"/>
    </row>
    <row r="91" spans="13:28" ht="15" customHeight="1">
      <c r="M91" s="79"/>
      <c r="O91" s="151"/>
      <c r="P91" s="151"/>
      <c r="Q91" s="151"/>
      <c r="R91" s="151"/>
      <c r="S91" s="151"/>
      <c r="T91" s="151"/>
      <c r="U91" s="151"/>
      <c r="W91" s="112"/>
      <c r="X91" s="112"/>
      <c r="Y91" s="112"/>
      <c r="Z91" s="112"/>
      <c r="AA91" s="112"/>
      <c r="AB91" s="111"/>
    </row>
    <row r="92" spans="1:28" ht="15" customHeight="1">
      <c r="A92" s="73" t="s">
        <v>63</v>
      </c>
      <c r="B92" s="67"/>
      <c r="C92" s="56"/>
      <c r="D92" s="56"/>
      <c r="E92" s="55"/>
      <c r="F92" s="57"/>
      <c r="G92" s="57"/>
      <c r="H92" s="57"/>
      <c r="I92" s="57"/>
      <c r="J92" s="57"/>
      <c r="K92" s="70"/>
      <c r="L92" s="124" t="s">
        <v>64</v>
      </c>
      <c r="M92" s="79"/>
      <c r="W92" s="112"/>
      <c r="X92" s="112"/>
      <c r="Y92" s="112"/>
      <c r="Z92" s="112"/>
      <c r="AA92" s="112"/>
      <c r="AB92" s="111"/>
    </row>
    <row r="93" spans="1:28" ht="15.75" customHeight="1">
      <c r="A93" s="126">
        <v>41833</v>
      </c>
      <c r="B93" s="119">
        <v>1600</v>
      </c>
      <c r="C93" s="91" t="str">
        <f>IF(W93=FALSE,X93,W93)</f>
        <v>Vencedor do AC</v>
      </c>
      <c r="D93" s="39"/>
      <c r="E93" s="39"/>
      <c r="F93" s="39"/>
      <c r="G93" s="24" t="s">
        <v>37</v>
      </c>
      <c r="H93" s="14"/>
      <c r="I93" s="14"/>
      <c r="J93" s="14"/>
      <c r="K93" s="91" t="str">
        <f>IF(Z93=FALSE,AA93,Z93)</f>
        <v>Vencedor do BD</v>
      </c>
      <c r="L93" s="114" t="s">
        <v>73</v>
      </c>
      <c r="M93" s="97" t="s">
        <v>28</v>
      </c>
      <c r="W93" s="112" t="str">
        <f>IF(OR(F86="",H86="",AND(F86=H86,OR(E86="",I86="")),OR(AND(F86=H86,E86=I86,OR(D86=J86,D86="",J86="")))),"Vencedor do AC")</f>
        <v>Vencedor do AC</v>
      </c>
      <c r="X93" s="112" t="b">
        <f>IF(F86&gt;H86,C86,IF(H86&gt;F86,K86,IF(E86&gt;I86,C86,IF(I86&gt;E86,K86,IF(D86&gt;J86,C86,IF(J86&gt;D86,K86))))))</f>
        <v>0</v>
      </c>
      <c r="Y93" s="112"/>
      <c r="Z93" s="112" t="str">
        <f>IF(OR(F87="",H87="",AND(F87=H87,OR(E87="",I87="")),OR(AND(F87=H87,E87=I87,OR(D87=J87,D87="",J87="")))),"Vencedor do BD")</f>
        <v>Vencedor do BD</v>
      </c>
      <c r="AA93" s="112" t="b">
        <f>IF(F87&gt;H87,C87,IF(H87&gt;F87,K87,IF(E87&gt;I87,C87,IF(I87&gt;E87,K87,IF(D87&gt;J87,C87,IF(J87&gt;D87,K87))))))</f>
        <v>0</v>
      </c>
      <c r="AB93" s="111"/>
    </row>
    <row r="94" spans="23:28" ht="13.5">
      <c r="W94" s="112"/>
      <c r="X94" s="112"/>
      <c r="Y94" s="112"/>
      <c r="Z94" s="112"/>
      <c r="AA94" s="112"/>
      <c r="AB94" s="111"/>
    </row>
    <row r="95" spans="23:28" ht="15" customHeight="1" thickBot="1">
      <c r="W95" s="112"/>
      <c r="X95" s="112"/>
      <c r="Y95" s="112"/>
      <c r="Z95" s="112"/>
      <c r="AA95" s="112"/>
      <c r="AB95" s="111"/>
    </row>
    <row r="96" spans="1:28" ht="13.5" customHeight="1">
      <c r="A96" s="71"/>
      <c r="B96" s="158" t="s">
        <v>56</v>
      </c>
      <c r="C96" s="159"/>
      <c r="D96" s="99"/>
      <c r="E96" s="148" t="str">
        <f>IF(W96=FALSE,X96,W96)</f>
        <v>Vencedor do 1º</v>
      </c>
      <c r="F96" s="148"/>
      <c r="G96" s="148"/>
      <c r="H96" s="148"/>
      <c r="I96" s="148"/>
      <c r="J96" s="149"/>
      <c r="K96" s="150"/>
      <c r="W96" s="112" t="str">
        <f>IF(OR(F93="",H93="",AND(F93=H93,OR(E93="",I93="")),OR(AND(F93=H93,E93=I93,OR(D93=J93,D93="",J93="")))),"Vencedor do 1º")</f>
        <v>Vencedor do 1º</v>
      </c>
      <c r="X96" s="112" t="b">
        <f>IF(F93&gt;H93,C93,IF(H93&gt;F93,K93,IF(E93&gt;I93,C93,IF(I93&gt;E93,K93,IF(D93&gt;J93,C93,IF(J93&gt;D93,K93))))))</f>
        <v>0</v>
      </c>
      <c r="Y96" s="112"/>
      <c r="Z96" s="112"/>
      <c r="AA96" s="112"/>
      <c r="AB96" s="111"/>
    </row>
    <row r="97" spans="1:28" ht="15" customHeight="1" thickBot="1">
      <c r="A97" s="72"/>
      <c r="B97" s="153" t="s">
        <v>57</v>
      </c>
      <c r="C97" s="154"/>
      <c r="D97" s="98"/>
      <c r="E97" s="155" t="str">
        <f>IF(W97=FALSE,X97,W97)</f>
        <v>Perdedor do 1º</v>
      </c>
      <c r="F97" s="155"/>
      <c r="G97" s="155"/>
      <c r="H97" s="155"/>
      <c r="I97" s="155"/>
      <c r="J97" s="156"/>
      <c r="K97" s="157"/>
      <c r="W97" s="112" t="str">
        <f>IF(OR(F93="",H93="",AND(F93=H93,OR(E93="",I93="")),OR(AND(F93=H93,E93=I93,OR(D93=J93,D93="",J93="")))),"Perdedor do 1º")</f>
        <v>Perdedor do 1º</v>
      </c>
      <c r="X97" s="112" t="b">
        <f>IF(F93&lt;H93,C93,IF(H93&lt;F93,K93,IF(E93&lt;I93,C93,IF(I93&lt;E93,K93,IF(D93&lt;J93,C93,IF(J93&lt;D93,K93))))))</f>
        <v>0</v>
      </c>
      <c r="Y97" s="112"/>
      <c r="Z97" s="112"/>
      <c r="AA97" s="112"/>
      <c r="AB97" s="111"/>
    </row>
  </sheetData>
  <sheetProtection password="E450" sheet="1" formatCells="0" formatColumns="0" formatRows="0" insertColumns="0" insertRows="0" insertHyperlinks="0" deleteColumns="0" deleteRows="0" sort="0" autoFilter="0" pivotTables="0"/>
  <mergeCells count="47">
    <mergeCell ref="E96:K96"/>
    <mergeCell ref="O82:U91"/>
    <mergeCell ref="O80:U81"/>
    <mergeCell ref="B97:C97"/>
    <mergeCell ref="E97:K97"/>
    <mergeCell ref="B96:C96"/>
    <mergeCell ref="O76:V76"/>
    <mergeCell ref="O77:V77"/>
    <mergeCell ref="O74:V74"/>
    <mergeCell ref="O75:V75"/>
    <mergeCell ref="F69:H69"/>
    <mergeCell ref="O69:V69"/>
    <mergeCell ref="A4:C4"/>
    <mergeCell ref="A36:C36"/>
    <mergeCell ref="N1:U1"/>
    <mergeCell ref="A3:V3"/>
    <mergeCell ref="A2:V2"/>
    <mergeCell ref="A1:M1"/>
    <mergeCell ref="N5:V5"/>
    <mergeCell ref="F28:H28"/>
    <mergeCell ref="A12:C12"/>
    <mergeCell ref="A20:C20"/>
    <mergeCell ref="A28:C28"/>
    <mergeCell ref="D36:K36"/>
    <mergeCell ref="M36:V36"/>
    <mergeCell ref="N61:V61"/>
    <mergeCell ref="A60:C60"/>
    <mergeCell ref="N53:V53"/>
    <mergeCell ref="M52:V52"/>
    <mergeCell ref="D60:K60"/>
    <mergeCell ref="N45:V45"/>
    <mergeCell ref="A44:C44"/>
    <mergeCell ref="A52:C52"/>
    <mergeCell ref="N37:V37"/>
    <mergeCell ref="D44:K44"/>
    <mergeCell ref="M44:V44"/>
    <mergeCell ref="D52:K52"/>
    <mergeCell ref="M60:V60"/>
    <mergeCell ref="N21:V21"/>
    <mergeCell ref="N29:V29"/>
    <mergeCell ref="D4:K4"/>
    <mergeCell ref="M4:V4"/>
    <mergeCell ref="D12:K12"/>
    <mergeCell ref="M12:V12"/>
    <mergeCell ref="D20:K20"/>
    <mergeCell ref="M20:V20"/>
    <mergeCell ref="N13:V13"/>
  </mergeCells>
  <conditionalFormatting sqref="W15:W18">
    <cfRule type="cellIs" priority="3" dxfId="4" operator="notEqual" stopIfTrue="1">
      <formula>0</formula>
    </cfRule>
  </conditionalFormatting>
  <conditionalFormatting sqref="N7 N15 N23 N31 N39 N47 N55 N63">
    <cfRule type="expression" priority="4" dxfId="3" stopIfTrue="1">
      <formula>$P$7=3</formula>
    </cfRule>
  </conditionalFormatting>
  <conditionalFormatting sqref="N8 N16 N24 N32 N40 N48 N56 N64">
    <cfRule type="expression" priority="5" dxfId="2" stopIfTrue="1">
      <formula>$P$8=3</formula>
    </cfRule>
  </conditionalFormatting>
  <conditionalFormatting sqref="O7:V10 O15:V18 O23:V26 O31:V34 O39:V42 O47:V50 O55:V58 O63:V66">
    <cfRule type="cellIs" priority="6" dxfId="5" operator="greaterThan" stopIfTrue="1">
      <formula>0</formula>
    </cfRule>
    <cfRule type="cellIs" priority="7" dxfId="6" operator="lessThan" stopIfTrue="1">
      <formula>0</formula>
    </cfRule>
  </conditionalFormatting>
  <hyperlinks>
    <hyperlink ref="N1" r:id="rId1" display="johannklauslima@gmail.com"/>
    <hyperlink ref="O74" r:id="rId2" display="johannklauslima@gmail.com"/>
  </hyperlinks>
  <printOptions horizontalCentered="1"/>
  <pageMargins left="0.3937007874015748" right="0.3937007874015748" top="0.5905511811023623" bottom="0.7874015748031497" header="0.31496062992125984" footer="0.31496062992125984"/>
  <pageSetup horizontalDpi="300" verticalDpi="300" orientation="portrait" paperSize="9" scale="70" r:id="rId6"/>
  <rowBreaks count="1" manualBreakCount="1">
    <brk id="67" max="255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5"/>
  <sheetViews>
    <sheetView showGridLines="0" zoomScale="80" zoomScaleNormal="80" zoomScalePageLayoutView="0" workbookViewId="0" topLeftCell="A44">
      <selection activeCell="N53" sqref="N53"/>
    </sheetView>
  </sheetViews>
  <sheetFormatPr defaultColWidth="9.140625" defaultRowHeight="12.75"/>
  <cols>
    <col min="1" max="1" width="14.57421875" style="31" bestFit="1" customWidth="1"/>
    <col min="2" max="2" width="3.00390625" style="34" bestFit="1" customWidth="1"/>
    <col min="3" max="3" width="1.8515625" style="34" bestFit="1" customWidth="1"/>
    <col min="4" max="4" width="2.140625" style="34" bestFit="1" customWidth="1"/>
    <col min="5" max="5" width="1.8515625" style="34" bestFit="1" customWidth="1"/>
    <col min="6" max="6" width="2.00390625" style="34" bestFit="1" customWidth="1"/>
    <col min="7" max="7" width="3.00390625" style="34" bestFit="1" customWidth="1"/>
    <col min="8" max="9" width="3.140625" style="34" bestFit="1" customWidth="1"/>
    <col min="10" max="10" width="3.140625" style="34" customWidth="1"/>
    <col min="11" max="11" width="11.7109375" style="94" bestFit="1" customWidth="1"/>
    <col min="12" max="12" width="2.7109375" style="94" bestFit="1" customWidth="1"/>
    <col min="13" max="13" width="2.00390625" style="94" customWidth="1"/>
    <col min="14" max="14" width="11.7109375" style="94" bestFit="1" customWidth="1"/>
    <col min="15" max="15" width="2.28125" style="94" bestFit="1" customWidth="1"/>
    <col min="16" max="16" width="2.57421875" style="94" customWidth="1"/>
    <col min="17" max="17" width="11.7109375" style="94" bestFit="1" customWidth="1"/>
    <col min="18" max="18" width="2.7109375" style="94" bestFit="1" customWidth="1"/>
    <col min="19" max="19" width="3.140625" style="94" bestFit="1" customWidth="1"/>
    <col min="20" max="20" width="2.28125" style="94" customWidth="1"/>
    <col min="21" max="21" width="11.7109375" style="94" bestFit="1" customWidth="1"/>
    <col min="22" max="22" width="2.7109375" style="94" bestFit="1" customWidth="1"/>
    <col min="23" max="23" width="3.140625" style="94" bestFit="1" customWidth="1"/>
    <col min="24" max="24" width="11.7109375" style="94" bestFit="1" customWidth="1"/>
    <col min="25" max="25" width="2.7109375" style="94" bestFit="1" customWidth="1"/>
    <col min="26" max="26" width="3.140625" style="94" bestFit="1" customWidth="1"/>
    <col min="27" max="27" width="2.8515625" style="94" customWidth="1"/>
    <col min="28" max="28" width="10.140625" style="94" bestFit="1" customWidth="1"/>
    <col min="29" max="29" width="2.7109375" style="94" bestFit="1" customWidth="1"/>
    <col min="30" max="30" width="3.140625" style="94" bestFit="1" customWidth="1"/>
    <col min="31" max="31" width="3.00390625" style="94" bestFit="1" customWidth="1"/>
    <col min="32" max="32" width="11.7109375" style="94" bestFit="1" customWidth="1"/>
    <col min="33" max="33" width="2.7109375" style="94" bestFit="1" customWidth="1"/>
    <col min="34" max="34" width="3.140625" style="94" bestFit="1" customWidth="1"/>
    <col min="35" max="35" width="3.00390625" style="94" bestFit="1" customWidth="1"/>
    <col min="36" max="36" width="11.7109375" style="94" bestFit="1" customWidth="1"/>
    <col min="37" max="37" width="2.7109375" style="94" bestFit="1" customWidth="1"/>
    <col min="38" max="38" width="3.140625" style="94" bestFit="1" customWidth="1"/>
    <col min="39" max="39" width="3.00390625" style="94" bestFit="1" customWidth="1"/>
    <col min="40" max="40" width="11.7109375" style="94" bestFit="1" customWidth="1"/>
    <col min="41" max="41" width="2.7109375" style="94" bestFit="1" customWidth="1"/>
    <col min="42" max="42" width="3.140625" style="94" bestFit="1" customWidth="1"/>
    <col min="43" max="43" width="3.00390625" style="94" bestFit="1" customWidth="1"/>
    <col min="44" max="16384" width="9.140625" style="94" customWidth="1"/>
  </cols>
  <sheetData>
    <row r="1" spans="1:44" ht="12.75">
      <c r="A1" s="26"/>
      <c r="B1" s="6"/>
      <c r="C1" s="6"/>
      <c r="D1" s="6"/>
      <c r="E1" s="6"/>
      <c r="F1" s="6"/>
      <c r="G1" s="6"/>
      <c r="H1" s="6"/>
      <c r="I1" s="6"/>
      <c r="J1" s="6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</row>
    <row r="2" spans="1:44" ht="12.75">
      <c r="A2" s="26"/>
      <c r="B2" s="6"/>
      <c r="C2" s="6"/>
      <c r="D2" s="6"/>
      <c r="E2" s="6"/>
      <c r="F2" s="6"/>
      <c r="G2" s="6"/>
      <c r="H2" s="6"/>
      <c r="I2" s="6"/>
      <c r="J2" s="6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</row>
    <row r="3" spans="1:44" ht="12.75">
      <c r="A3" s="26"/>
      <c r="B3" s="160" t="s">
        <v>0</v>
      </c>
      <c r="C3" s="160"/>
      <c r="D3" s="160"/>
      <c r="E3" s="160"/>
      <c r="F3" s="160"/>
      <c r="G3" s="160"/>
      <c r="H3" s="160"/>
      <c r="I3" s="160"/>
      <c r="J3" s="6"/>
      <c r="K3" s="93" t="s">
        <v>16</v>
      </c>
      <c r="L3" s="93"/>
      <c r="M3" s="93"/>
      <c r="N3" s="93" t="s">
        <v>18</v>
      </c>
      <c r="O3" s="93"/>
      <c r="P3" s="93"/>
      <c r="Q3" s="93" t="s">
        <v>17</v>
      </c>
      <c r="R3" s="93"/>
      <c r="S3" s="93"/>
      <c r="T3" s="93"/>
      <c r="U3" s="93" t="s">
        <v>17</v>
      </c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</row>
    <row r="4" spans="1:44" ht="12.75">
      <c r="A4" s="58" t="s">
        <v>15</v>
      </c>
      <c r="B4" s="95" t="s">
        <v>14</v>
      </c>
      <c r="C4" s="96" t="s">
        <v>1</v>
      </c>
      <c r="D4" s="96" t="s">
        <v>2</v>
      </c>
      <c r="E4" s="96" t="s">
        <v>4</v>
      </c>
      <c r="F4" s="96" t="s">
        <v>3</v>
      </c>
      <c r="G4" s="96" t="s">
        <v>5</v>
      </c>
      <c r="H4" s="96" t="s">
        <v>6</v>
      </c>
      <c r="I4" s="96" t="s">
        <v>7</v>
      </c>
      <c r="J4" s="97"/>
      <c r="K4" s="93"/>
      <c r="L4" s="93" t="s">
        <v>14</v>
      </c>
      <c r="M4" s="93"/>
      <c r="N4" s="93"/>
      <c r="O4" s="93" t="s">
        <v>19</v>
      </c>
      <c r="P4" s="93"/>
      <c r="Q4" s="93"/>
      <c r="R4" s="93" t="s">
        <v>14</v>
      </c>
      <c r="S4" s="93" t="s">
        <v>7</v>
      </c>
      <c r="T4" s="93"/>
      <c r="U4" s="93"/>
      <c r="V4" s="93" t="s">
        <v>14</v>
      </c>
      <c r="W4" s="93" t="s">
        <v>7</v>
      </c>
      <c r="X4" s="93"/>
      <c r="Y4" s="93" t="s">
        <v>14</v>
      </c>
      <c r="Z4" s="93" t="s">
        <v>7</v>
      </c>
      <c r="AA4" s="93"/>
      <c r="AB4" s="93"/>
      <c r="AC4" s="93" t="s">
        <v>14</v>
      </c>
      <c r="AD4" s="93" t="s">
        <v>7</v>
      </c>
      <c r="AE4" s="93" t="s">
        <v>5</v>
      </c>
      <c r="AF4" s="93"/>
      <c r="AG4" s="93" t="s">
        <v>14</v>
      </c>
      <c r="AH4" s="93" t="s">
        <v>7</v>
      </c>
      <c r="AI4" s="93" t="s">
        <v>5</v>
      </c>
      <c r="AJ4" s="93"/>
      <c r="AK4" s="93" t="s">
        <v>14</v>
      </c>
      <c r="AL4" s="93" t="s">
        <v>7</v>
      </c>
      <c r="AM4" s="93" t="s">
        <v>5</v>
      </c>
      <c r="AN4" s="93"/>
      <c r="AO4" s="93" t="s">
        <v>14</v>
      </c>
      <c r="AP4" s="93" t="s">
        <v>7</v>
      </c>
      <c r="AQ4" s="93" t="s">
        <v>5</v>
      </c>
      <c r="AR4" s="93"/>
    </row>
    <row r="5" spans="1:44" ht="12.75">
      <c r="A5" s="26" t="s">
        <v>42</v>
      </c>
      <c r="B5" s="95">
        <f>SUM(D5*3)+E5</f>
        <v>0</v>
      </c>
      <c r="C5" s="96">
        <f>COUNT(Tabela!F5,Tabela!F7,Tabela!H9)</f>
        <v>0</v>
      </c>
      <c r="D5" s="96">
        <f>SUM(IF(Tabela!$F$5&gt;Tabela!$H$5,COUNT(Tabela!$F$5)),IF(Tabela!$F$7&gt;Tabela!$H$7,COUNT(Tabela!$F$7)),IF(Tabela!$H$9&gt;Tabela!$F$9,COUNT(Tabela!$H$9)))</f>
        <v>0</v>
      </c>
      <c r="E5" s="96">
        <f>SUM(IF(Tabela!$F$5=Tabela!$H$5,COUNT(Tabela!$F$5)),IF(Tabela!$F$7=Tabela!$H$7,COUNT(Tabela!$F$7)),IF(Tabela!$H$9=Tabela!$F$9,COUNT(Tabela!$H$9)))</f>
        <v>0</v>
      </c>
      <c r="F5" s="96">
        <f>SUM(IF(Tabela!$F$5&lt;Tabela!$H$5,COUNT(Tabela!$F$5)),IF(Tabela!$F$7&lt;Tabela!$H$7,COUNT(Tabela!$F$7)),IF(Tabela!$H$9&lt;Tabela!$F$9,COUNT(Tabela!$H$9)))</f>
        <v>0</v>
      </c>
      <c r="G5" s="96">
        <f>SUM(Tabela!F5+Tabela!F7+Tabela!H9)</f>
        <v>0</v>
      </c>
      <c r="H5" s="96">
        <f>SUM(Tabela!H5+Tabela!H7+Tabela!F9)</f>
        <v>0</v>
      </c>
      <c r="I5" s="96">
        <f>SUM(G5-H5)</f>
        <v>0</v>
      </c>
      <c r="J5" s="95"/>
      <c r="K5" s="93" t="str">
        <f>IF($B5&gt;=$B6,$A5,$A6)</f>
        <v>Brasil</v>
      </c>
      <c r="L5" s="93">
        <f>VLOOKUP(K5,$A$5:$I$8,2,FALSE)</f>
        <v>0</v>
      </c>
      <c r="M5" s="93"/>
      <c r="N5" s="93" t="str">
        <f>IF(L5&gt;=L7,K5,K7)</f>
        <v>Brasil</v>
      </c>
      <c r="O5" s="93">
        <f>VLOOKUP(N5,$A$5:$I$8,2,FALSE)</f>
        <v>0</v>
      </c>
      <c r="P5" s="93"/>
      <c r="Q5" s="93" t="str">
        <f>IF(O5&gt;=O8,N5,N8)</f>
        <v>Brasil</v>
      </c>
      <c r="R5" s="93">
        <f>VLOOKUP(Q5,$A$5:$I$8,2,FALSE)</f>
        <v>0</v>
      </c>
      <c r="S5" s="93">
        <f>VLOOKUP(Q5,$A$5:$I$8,9,FALSE)</f>
        <v>0</v>
      </c>
      <c r="T5" s="93"/>
      <c r="U5" s="93" t="str">
        <f>IF(AND(R5=R6,S6&gt;S5),Q6,Q5)</f>
        <v>Brasil</v>
      </c>
      <c r="V5" s="93">
        <f>VLOOKUP(U5,$A$5:$I$8,2,FALSE)</f>
        <v>0</v>
      </c>
      <c r="W5" s="93">
        <f>VLOOKUP(U5,$A$5:$I$8,9,FALSE)</f>
        <v>0</v>
      </c>
      <c r="X5" s="93" t="str">
        <f>IF(AND(V5=V7,W7&gt;W5),U7,U5)</f>
        <v>Brasil</v>
      </c>
      <c r="Y5" s="93">
        <f>VLOOKUP(X5,$A$5:$I$8,2,FALSE)</f>
        <v>0</v>
      </c>
      <c r="Z5" s="93">
        <f>VLOOKUP(X5,$A$5:$I$8,9,FALSE)</f>
        <v>0</v>
      </c>
      <c r="AA5" s="93"/>
      <c r="AB5" s="93" t="str">
        <f>IF(AND(Y5=Y8,Z8&gt;Z5),X8,X5)</f>
        <v>Brasil</v>
      </c>
      <c r="AC5" s="93">
        <f>VLOOKUP(AB5,$A$5:$I$8,2,FALSE)</f>
        <v>0</v>
      </c>
      <c r="AD5" s="93">
        <f>VLOOKUP(AB5,$A$5:$I$8,9,FALSE)</f>
        <v>0</v>
      </c>
      <c r="AE5" s="93">
        <f>VLOOKUP(AB5,$A$5:$I$8,7,FALSE)</f>
        <v>0</v>
      </c>
      <c r="AF5" s="93" t="str">
        <f>IF(AND(AC5=AC6,AD5=AD6,AE6&gt;AE5),AB6,AB5)</f>
        <v>Brasil</v>
      </c>
      <c r="AG5" s="93">
        <f>VLOOKUP(AF5,$A$5:$I$8,2,FALSE)</f>
        <v>0</v>
      </c>
      <c r="AH5" s="93">
        <f>VLOOKUP(AF5,$A$5:$I$8,9,FALSE)</f>
        <v>0</v>
      </c>
      <c r="AI5" s="93">
        <f>VLOOKUP(AF5,$A$5:$I$8,7,FALSE)</f>
        <v>0</v>
      </c>
      <c r="AJ5" s="93" t="str">
        <f>IF(AND(AG5=AG7,AH5=AH7,AI7&gt;AI5),AF7,AF5)</f>
        <v>Brasil</v>
      </c>
      <c r="AK5" s="93">
        <f>VLOOKUP(AJ5,$A$5:$I$8,2,FALSE)</f>
        <v>0</v>
      </c>
      <c r="AL5" s="93">
        <f>VLOOKUP(AJ5,$A$5:$I$8,9,FALSE)</f>
        <v>0</v>
      </c>
      <c r="AM5" s="93">
        <f>VLOOKUP(AJ5,$A$5:$I$8,7,FALSE)</f>
        <v>0</v>
      </c>
      <c r="AN5" s="93" t="str">
        <f>IF(AND(AK5=AK8,AL5=AL8,AM8&gt;AM5),AJ8,AJ5)</f>
        <v>Brasil</v>
      </c>
      <c r="AO5" s="93">
        <f>VLOOKUP(AN5,$A$5:$I$8,2,FALSE)</f>
        <v>0</v>
      </c>
      <c r="AP5" s="93">
        <f>VLOOKUP(AN5,$A$5:$I$8,9,FALSE)</f>
        <v>0</v>
      </c>
      <c r="AQ5" s="93">
        <f>VLOOKUP(AN5,$A$5:$I$8,7,FALSE)</f>
        <v>0</v>
      </c>
      <c r="AR5" s="93"/>
    </row>
    <row r="6" spans="1:44" ht="12.75">
      <c r="A6" s="26" t="s">
        <v>103</v>
      </c>
      <c r="B6" s="95">
        <f>SUM(D6*3)+E6</f>
        <v>0</v>
      </c>
      <c r="C6" s="96">
        <f>COUNT(Tabela!H5,Tabela!H8,Tabela!F10)</f>
        <v>0</v>
      </c>
      <c r="D6" s="96">
        <f>SUM(IF(Tabela!$H$5&gt;Tabela!$F$5,COUNT(Tabela!$H$5)),IF(Tabela!$H$8&gt;Tabela!$F$8,COUNT(Tabela!$H$8)),IF(Tabela!$F$10&gt;Tabela!$H$10,COUNT(Tabela!$F$10)))</f>
        <v>0</v>
      </c>
      <c r="E6" s="96">
        <f>SUM(IF(Tabela!$H$5=Tabela!$F$5,COUNT(Tabela!$H$5)),IF(Tabela!$H$8=Tabela!$F$8,COUNT(Tabela!$H$8)),IF(Tabela!$F$10=Tabela!$H$10,COUNT(Tabela!$F$10)))</f>
        <v>0</v>
      </c>
      <c r="F6" s="96">
        <f>SUM(IF(Tabela!$H$5&lt;Tabela!$F$5,COUNT(Tabela!$H$5)),IF(Tabela!$H$8&lt;Tabela!$F$8,COUNT(Tabela!$H$8)),IF(Tabela!$F$10&lt;Tabela!$H$10,COUNT(Tabela!$F$10)))</f>
        <v>0</v>
      </c>
      <c r="G6" s="96">
        <f>SUM(Tabela!H5+Tabela!H8+Tabela!F10)</f>
        <v>0</v>
      </c>
      <c r="H6" s="96">
        <f>SUM(Tabela!F5+Tabela!F8+Tabela!H10)</f>
        <v>0</v>
      </c>
      <c r="I6" s="96">
        <f>SUM(G6-H6)</f>
        <v>0</v>
      </c>
      <c r="J6" s="95"/>
      <c r="K6" s="93" t="str">
        <f>IF(B6&lt;=B5,A6,A5)</f>
        <v>Croácia</v>
      </c>
      <c r="L6" s="93">
        <f>VLOOKUP(K6,$A$5:$I$8,2,FALSE)</f>
        <v>0</v>
      </c>
      <c r="M6" s="93"/>
      <c r="N6" s="93" t="str">
        <f>IF(L6&gt;=L8,K6,K8)</f>
        <v>Croácia</v>
      </c>
      <c r="O6" s="93">
        <f>VLOOKUP(N6,$A$5:$I$8,2,FALSE)</f>
        <v>0</v>
      </c>
      <c r="P6" s="93"/>
      <c r="Q6" s="93" t="str">
        <f>IF(O6&gt;=O7,N6,N7)</f>
        <v>Croácia</v>
      </c>
      <c r="R6" s="93">
        <f>VLOOKUP(Q6,$A$5:$I$8,2,FALSE)</f>
        <v>0</v>
      </c>
      <c r="S6" s="93">
        <f>VLOOKUP(Q6,$A$5:$I$8,9,FALSE)</f>
        <v>0</v>
      </c>
      <c r="T6" s="93"/>
      <c r="U6" s="93" t="str">
        <f>IF(AND(R5=R6,S6&gt;S5),Q5,Q6)</f>
        <v>Croácia</v>
      </c>
      <c r="V6" s="93">
        <f>VLOOKUP(U6,$A$5:$I$8,2,FALSE)</f>
        <v>0</v>
      </c>
      <c r="W6" s="93">
        <f>VLOOKUP(U6,$A$5:$I$8,9,FALSE)</f>
        <v>0</v>
      </c>
      <c r="X6" s="93" t="str">
        <f>IF(AND(V6=V8,W8&gt;W6),U8,U6)</f>
        <v>Croácia</v>
      </c>
      <c r="Y6" s="93">
        <f>VLOOKUP(X6,$A$5:$I$8,2,FALSE)</f>
        <v>0</v>
      </c>
      <c r="Z6" s="93">
        <f>VLOOKUP(X6,$A$5:$I$8,9,FALSE)</f>
        <v>0</v>
      </c>
      <c r="AA6" s="93"/>
      <c r="AB6" s="93" t="str">
        <f>IF(AND(Y6=Y7,Z7&gt;Z6),X7,X6)</f>
        <v>Croácia</v>
      </c>
      <c r="AC6" s="93">
        <f>VLOOKUP(AB6,$A$5:$I$8,2,FALSE)</f>
        <v>0</v>
      </c>
      <c r="AD6" s="93">
        <f>VLOOKUP(AB6,$A$5:$I$8,9,FALSE)</f>
        <v>0</v>
      </c>
      <c r="AE6" s="93">
        <f>VLOOKUP(AB6,$A$5:$I$8,7,FALSE)</f>
        <v>0</v>
      </c>
      <c r="AF6" s="93" t="str">
        <f>IF(AND(AC6=AC5,AD6=AD5,AE6&gt;AE5),AB5,AB6)</f>
        <v>Croácia</v>
      </c>
      <c r="AG6" s="93">
        <f>VLOOKUP(AF6,$A$5:$I$8,2,FALSE)</f>
        <v>0</v>
      </c>
      <c r="AH6" s="93">
        <f>VLOOKUP(AF6,$A$5:$I$8,9,FALSE)</f>
        <v>0</v>
      </c>
      <c r="AI6" s="93">
        <f>VLOOKUP(AF6,$A$5:$I$8,7,FALSE)</f>
        <v>0</v>
      </c>
      <c r="AJ6" s="93" t="str">
        <f>IF(AND(AG6=AG8,AH6=AH8,AI8&gt;AI6),AF8,AF6)</f>
        <v>Croácia</v>
      </c>
      <c r="AK6" s="93">
        <f>VLOOKUP(AJ6,$A$5:$I$8,2,FALSE)</f>
        <v>0</v>
      </c>
      <c r="AL6" s="93">
        <f>VLOOKUP(AJ6,$A$5:$I$8,9,FALSE)</f>
        <v>0</v>
      </c>
      <c r="AM6" s="93">
        <f>VLOOKUP(AJ6,$A$5:$I$8,7,FALSE)</f>
        <v>0</v>
      </c>
      <c r="AN6" s="93" t="str">
        <f>IF(AND(AK6=AK7,AL6=AL7,AM7&gt;AM6),AJ7,AJ6)</f>
        <v>Croácia</v>
      </c>
      <c r="AO6" s="93">
        <f>VLOOKUP(AN6,$A$5:$I$8,2,FALSE)</f>
        <v>0</v>
      </c>
      <c r="AP6" s="93">
        <f>VLOOKUP(AN6,$A$5:$I$8,9,FALSE)</f>
        <v>0</v>
      </c>
      <c r="AQ6" s="93">
        <f>VLOOKUP(AN6,$A$5:$I$8,7,FALSE)</f>
        <v>0</v>
      </c>
      <c r="AR6" s="93"/>
    </row>
    <row r="7" spans="1:44" ht="12.75">
      <c r="A7" s="26" t="s">
        <v>94</v>
      </c>
      <c r="B7" s="95">
        <f>SUM(D7*3)+E7</f>
        <v>0</v>
      </c>
      <c r="C7" s="96">
        <f>COUNT(Tabela!F6,Tabela!H7,Tabela!H10)</f>
        <v>0</v>
      </c>
      <c r="D7" s="96">
        <f>SUM(IF(Tabela!$F$6&gt;Tabela!$H$6,COUNT(Tabela!$F$6)),IF(Tabela!$H$7&gt;Tabela!$F$7,COUNT(Tabela!$H$7)),IF(Tabela!$H$10&gt;Tabela!$F$10,COUNT(Tabela!$H$10)))</f>
        <v>0</v>
      </c>
      <c r="E7" s="96">
        <f>SUM(IF(Tabela!$F$6=Tabela!$H$6,COUNT(Tabela!$F$6)),IF(Tabela!$H$7=Tabela!$F$7,COUNT(Tabela!$H$7)),IF(Tabela!$H$10=Tabela!$F$10,COUNT(Tabela!$H$10)))</f>
        <v>0</v>
      </c>
      <c r="F7" s="96">
        <f>SUM(IF(Tabela!$F$6&lt;Tabela!$H$6,COUNT(Tabela!$F$6)),IF(Tabela!$H$7&lt;Tabela!$F$7,COUNT(Tabela!$H$7)),IF(Tabela!$H$10&lt;Tabela!$F$10,COUNT(Tabela!$H$10)))</f>
        <v>0</v>
      </c>
      <c r="G7" s="96">
        <f>SUM(Tabela!F6+Tabela!H7+Tabela!H10)</f>
        <v>0</v>
      </c>
      <c r="H7" s="96">
        <f>SUM(Tabela!H6+Tabela!F7+Tabela!F10)</f>
        <v>0</v>
      </c>
      <c r="I7" s="96">
        <f>SUM(G7-H7)</f>
        <v>0</v>
      </c>
      <c r="J7" s="95"/>
      <c r="K7" s="93" t="str">
        <f>IF(B7&gt;=B8,A7,A8)</f>
        <v>México</v>
      </c>
      <c r="L7" s="93">
        <f>VLOOKUP(K7,$A$5:$I$8,2,FALSE)</f>
        <v>0</v>
      </c>
      <c r="M7" s="93"/>
      <c r="N7" s="93" t="str">
        <f>IF(L7&lt;=L5,K7,K5)</f>
        <v>México</v>
      </c>
      <c r="O7" s="93">
        <f>VLOOKUP(N7,$A$5:$I$8,2,FALSE)</f>
        <v>0</v>
      </c>
      <c r="P7" s="93"/>
      <c r="Q7" s="93" t="str">
        <f>IF(O7&lt;=O6,N7,N6)</f>
        <v>México</v>
      </c>
      <c r="R7" s="93">
        <f>VLOOKUP(Q7,$A$5:$I$8,2,FALSE)</f>
        <v>0</v>
      </c>
      <c r="S7" s="93">
        <f>VLOOKUP(Q7,$A$5:$I$8,9,FALSE)</f>
        <v>0</v>
      </c>
      <c r="T7" s="93"/>
      <c r="U7" s="93" t="str">
        <f>IF(AND(R7=R8,S8&gt;S7),Q8,Q7)</f>
        <v>México</v>
      </c>
      <c r="V7" s="93">
        <f>VLOOKUP(U7,$A$5:$I$8,2,FALSE)</f>
        <v>0</v>
      </c>
      <c r="W7" s="93">
        <f>VLOOKUP(U7,$A$5:$I$8,9,FALSE)</f>
        <v>0</v>
      </c>
      <c r="X7" s="93" t="str">
        <f>IF(AND(V5=V7,W7&gt;W5),U5,U7)</f>
        <v>México</v>
      </c>
      <c r="Y7" s="93">
        <f>VLOOKUP(X7,$A$5:$I$8,2,FALSE)</f>
        <v>0</v>
      </c>
      <c r="Z7" s="93">
        <f>VLOOKUP(X7,$A$5:$I$8,9,FALSE)</f>
        <v>0</v>
      </c>
      <c r="AA7" s="93"/>
      <c r="AB7" s="93" t="str">
        <f>IF(AND(Y7=Y6,Z7&gt;Z6),X6,X7)</f>
        <v>México</v>
      </c>
      <c r="AC7" s="93">
        <f>VLOOKUP(AB7,$A$5:$I$8,2,FALSE)</f>
        <v>0</v>
      </c>
      <c r="AD7" s="93">
        <f>VLOOKUP(AB7,$A$5:$I$8,9,FALSE)</f>
        <v>0</v>
      </c>
      <c r="AE7" s="93">
        <f>VLOOKUP(AB7,$A$5:$I$8,7,FALSE)</f>
        <v>0</v>
      </c>
      <c r="AF7" s="93" t="str">
        <f>IF(AND(AC7=AC8,AD7=AD8,AE8&gt;AE7),AB8,AB7)</f>
        <v>México</v>
      </c>
      <c r="AG7" s="93">
        <f>VLOOKUP(AF7,$A$5:$I$8,2,FALSE)</f>
        <v>0</v>
      </c>
      <c r="AH7" s="93">
        <f>VLOOKUP(AF7,$A$5:$I$8,9,FALSE)</f>
        <v>0</v>
      </c>
      <c r="AI7" s="93">
        <f>VLOOKUP(AF7,$A$5:$I$8,7,FALSE)</f>
        <v>0</v>
      </c>
      <c r="AJ7" s="93" t="str">
        <f>IF(AND(AG7=AG5,AH7=AH5,AI7&gt;AI5),AF5,AF7)</f>
        <v>México</v>
      </c>
      <c r="AK7" s="93">
        <f>VLOOKUP(AJ7,$A$5:$I$8,2,FALSE)</f>
        <v>0</v>
      </c>
      <c r="AL7" s="93">
        <f>VLOOKUP(AJ7,$A$5:$I$8,9,FALSE)</f>
        <v>0</v>
      </c>
      <c r="AM7" s="93">
        <f>VLOOKUP(AJ7,$A$5:$I$8,7,FALSE)</f>
        <v>0</v>
      </c>
      <c r="AN7" s="93" t="str">
        <f>IF(AND(AK7=AK6,AL7=AL6,AM7&gt;AM6),AJ6,AJ7)</f>
        <v>México</v>
      </c>
      <c r="AO7" s="93">
        <f>VLOOKUP(AN7,$A$5:$I$8,2,FALSE)</f>
        <v>0</v>
      </c>
      <c r="AP7" s="93">
        <f>VLOOKUP(AN7,$A$5:$I$8,9,FALSE)</f>
        <v>0</v>
      </c>
      <c r="AQ7" s="93">
        <f>VLOOKUP(AN7,$A$5:$I$8,7,FALSE)</f>
        <v>0</v>
      </c>
      <c r="AR7" s="93"/>
    </row>
    <row r="8" spans="1:44" ht="12.75">
      <c r="A8" s="26" t="s">
        <v>87</v>
      </c>
      <c r="B8" s="95">
        <f>SUM(D8*3)+E8</f>
        <v>0</v>
      </c>
      <c r="C8" s="96">
        <f>COUNT(Tabela!H6,Tabela!F8,Tabela!F9)</f>
        <v>0</v>
      </c>
      <c r="D8" s="96">
        <f>SUM(IF(Tabela!$H$6&gt;Tabela!$F$6,COUNT(Tabela!$H$6)),IF(Tabela!$F$8&gt;Tabela!$H$8,COUNT(Tabela!$F$8)),IF(Tabela!$F$9&gt;Tabela!$H$9,COUNT(Tabela!$F$9)))</f>
        <v>0</v>
      </c>
      <c r="E8" s="96">
        <f>SUM(IF(Tabela!$H$6=Tabela!$F$6,COUNT(Tabela!$H$6)),IF(Tabela!$F$8=Tabela!$H$8,COUNT(Tabela!$F$8)),IF(Tabela!$F$9=Tabela!$H$9,COUNT(Tabela!$F$9)))</f>
        <v>0</v>
      </c>
      <c r="F8" s="96">
        <f>SUM(IF(Tabela!$H$6&lt;Tabela!$F$6,COUNT(Tabela!$H$6)),IF(Tabela!$F$8&lt;Tabela!$H$8,COUNT(Tabela!$F$8)),IF(Tabela!$F$9&lt;Tabela!$H$9,COUNT(Tabela!$F$9)))</f>
        <v>0</v>
      </c>
      <c r="G8" s="96">
        <f>SUM(Tabela!H6+Tabela!F8+Tabela!F9)</f>
        <v>0</v>
      </c>
      <c r="H8" s="96">
        <f>SUM(Tabela!F6+Tabela!H8+Tabela!H9)</f>
        <v>0</v>
      </c>
      <c r="I8" s="96">
        <f>SUM(G8-H8)</f>
        <v>0</v>
      </c>
      <c r="J8" s="95"/>
      <c r="K8" s="93" t="str">
        <f>IF(B8&lt;=B7,A8,A7)</f>
        <v>Camarões</v>
      </c>
      <c r="L8" s="93">
        <f>VLOOKUP(K8,$A$5:$I$8,2,FALSE)</f>
        <v>0</v>
      </c>
      <c r="M8" s="93"/>
      <c r="N8" s="93" t="str">
        <f>IF(L8&lt;=L6,K8,K6)</f>
        <v>Camarões</v>
      </c>
      <c r="O8" s="93">
        <f>VLOOKUP(N8,$A$5:$I$8,2,FALSE)</f>
        <v>0</v>
      </c>
      <c r="P8" s="93"/>
      <c r="Q8" s="93" t="str">
        <f>IF(O8&lt;=O5,N8,N5)</f>
        <v>Camarões</v>
      </c>
      <c r="R8" s="93">
        <f>VLOOKUP(Q8,$A$5:$I$8,2,FALSE)</f>
        <v>0</v>
      </c>
      <c r="S8" s="93">
        <f>VLOOKUP(Q8,$A$5:$I$8,9,FALSE)</f>
        <v>0</v>
      </c>
      <c r="T8" s="93"/>
      <c r="U8" s="93" t="str">
        <f>IF(AND(R7=R8,S8&gt;S7),Q7,Q8)</f>
        <v>Camarões</v>
      </c>
      <c r="V8" s="93">
        <f>VLOOKUP(U8,$A$5:$I$8,2,FALSE)</f>
        <v>0</v>
      </c>
      <c r="W8" s="93">
        <f>VLOOKUP(U8,$A$5:$I$8,9,FALSE)</f>
        <v>0</v>
      </c>
      <c r="X8" s="93" t="str">
        <f>IF(AND(V6=V8,W8&gt;W6),U6,U8)</f>
        <v>Camarões</v>
      </c>
      <c r="Y8" s="93">
        <f>VLOOKUP(X8,$A$5:$I$8,2,FALSE)</f>
        <v>0</v>
      </c>
      <c r="Z8" s="93">
        <f>VLOOKUP(X8,$A$5:$I$8,9,FALSE)</f>
        <v>0</v>
      </c>
      <c r="AA8" s="93"/>
      <c r="AB8" s="93" t="str">
        <f>IF(AND(Y8=Y5,Z8&gt;Z5),X5,X8)</f>
        <v>Camarões</v>
      </c>
      <c r="AC8" s="93">
        <f>VLOOKUP(AB8,$A$5:$I$8,2,FALSE)</f>
        <v>0</v>
      </c>
      <c r="AD8" s="93">
        <f>VLOOKUP(AB8,$A$5:$I$8,9,FALSE)</f>
        <v>0</v>
      </c>
      <c r="AE8" s="93">
        <f>VLOOKUP(AB8,$A$5:$I$8,7,FALSE)</f>
        <v>0</v>
      </c>
      <c r="AF8" s="93" t="str">
        <f>IF(AND(AC8=AC7,AD8=AD7,AE8&gt;AE7),X7,X8)</f>
        <v>Camarões</v>
      </c>
      <c r="AG8" s="93">
        <f>VLOOKUP(AF8,$A$5:$I$8,2,FALSE)</f>
        <v>0</v>
      </c>
      <c r="AH8" s="93">
        <f>VLOOKUP(AF8,$A$5:$I$8,9,FALSE)</f>
        <v>0</v>
      </c>
      <c r="AI8" s="93">
        <f>VLOOKUP(AF8,$A$5:$I$8,7,FALSE)</f>
        <v>0</v>
      </c>
      <c r="AJ8" s="93" t="str">
        <f>IF(AND(AG6=AG8,AH6=AH8,AI8&gt;AI6),AF6,AF8)</f>
        <v>Camarões</v>
      </c>
      <c r="AK8" s="93">
        <f>VLOOKUP(AJ8,$A$5:$I$8,2,FALSE)</f>
        <v>0</v>
      </c>
      <c r="AL8" s="93">
        <f>VLOOKUP(AJ8,$A$5:$I$8,9,FALSE)</f>
        <v>0</v>
      </c>
      <c r="AM8" s="93">
        <f>VLOOKUP(AJ8,$A$5:$I$8,7,FALSE)</f>
        <v>0</v>
      </c>
      <c r="AN8" s="93" t="str">
        <f>IF(AND(AK8=AK5,AL8=AL5,AM8&gt;AM5),AJ5,AJ8)</f>
        <v>Camarões</v>
      </c>
      <c r="AO8" s="93">
        <f>VLOOKUP(AN8,$A$5:$I$8,2,FALSE)</f>
        <v>0</v>
      </c>
      <c r="AP8" s="93">
        <f>VLOOKUP(AN8,$A$5:$I$8,9,FALSE)</f>
        <v>0</v>
      </c>
      <c r="AQ8" s="93">
        <f>VLOOKUP(AN8,$A$5:$I$8,7,FALSE)</f>
        <v>0</v>
      </c>
      <c r="AR8" s="93"/>
    </row>
    <row r="9" spans="1:44" ht="12.75">
      <c r="A9" s="26"/>
      <c r="B9" s="6"/>
      <c r="C9" s="6"/>
      <c r="D9" s="6"/>
      <c r="E9" s="6"/>
      <c r="F9" s="6"/>
      <c r="G9" s="6"/>
      <c r="H9" s="6"/>
      <c r="I9" s="6"/>
      <c r="J9" s="6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</row>
    <row r="10" spans="1:44" ht="12.75">
      <c r="A10" s="26"/>
      <c r="B10" s="6"/>
      <c r="C10" s="6"/>
      <c r="D10" s="6"/>
      <c r="E10" s="6"/>
      <c r="F10" s="6"/>
      <c r="G10" s="6"/>
      <c r="H10" s="6"/>
      <c r="I10" s="6"/>
      <c r="J10" s="6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</row>
    <row r="11" spans="1:44" ht="12.75">
      <c r="A11" s="26"/>
      <c r="B11" s="160" t="s">
        <v>8</v>
      </c>
      <c r="C11" s="160"/>
      <c r="D11" s="160"/>
      <c r="E11" s="160"/>
      <c r="F11" s="160"/>
      <c r="G11" s="160"/>
      <c r="H11" s="160"/>
      <c r="I11" s="160"/>
      <c r="J11" s="6"/>
      <c r="K11" s="93" t="s">
        <v>16</v>
      </c>
      <c r="L11" s="93"/>
      <c r="M11" s="93"/>
      <c r="N11" s="93" t="s">
        <v>18</v>
      </c>
      <c r="O11" s="93"/>
      <c r="P11" s="93"/>
      <c r="Q11" s="93" t="s">
        <v>17</v>
      </c>
      <c r="R11" s="93"/>
      <c r="S11" s="93"/>
      <c r="T11" s="93"/>
      <c r="U11" s="93" t="s">
        <v>17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</row>
    <row r="12" spans="1:44" ht="12.75">
      <c r="A12" s="58" t="s">
        <v>15</v>
      </c>
      <c r="B12" s="95" t="s">
        <v>14</v>
      </c>
      <c r="C12" s="96" t="s">
        <v>1</v>
      </c>
      <c r="D12" s="96" t="s">
        <v>2</v>
      </c>
      <c r="E12" s="96" t="s">
        <v>4</v>
      </c>
      <c r="F12" s="96" t="s">
        <v>3</v>
      </c>
      <c r="G12" s="96" t="s">
        <v>5</v>
      </c>
      <c r="H12" s="96" t="s">
        <v>6</v>
      </c>
      <c r="I12" s="96" t="s">
        <v>7</v>
      </c>
      <c r="J12" s="97"/>
      <c r="K12" s="93"/>
      <c r="L12" s="93" t="s">
        <v>14</v>
      </c>
      <c r="M12" s="93"/>
      <c r="N12" s="93"/>
      <c r="O12" s="93" t="s">
        <v>19</v>
      </c>
      <c r="P12" s="93"/>
      <c r="Q12" s="93"/>
      <c r="R12" s="93" t="s">
        <v>14</v>
      </c>
      <c r="S12" s="93" t="s">
        <v>7</v>
      </c>
      <c r="T12" s="93"/>
      <c r="U12" s="93"/>
      <c r="V12" s="93" t="s">
        <v>14</v>
      </c>
      <c r="W12" s="93" t="s">
        <v>7</v>
      </c>
      <c r="X12" s="93"/>
      <c r="Y12" s="93" t="s">
        <v>14</v>
      </c>
      <c r="Z12" s="93" t="s">
        <v>7</v>
      </c>
      <c r="AA12" s="93"/>
      <c r="AB12" s="93"/>
      <c r="AC12" s="93" t="s">
        <v>14</v>
      </c>
      <c r="AD12" s="93" t="s">
        <v>7</v>
      </c>
      <c r="AE12" s="93" t="s">
        <v>5</v>
      </c>
      <c r="AF12" s="93"/>
      <c r="AG12" s="93" t="s">
        <v>14</v>
      </c>
      <c r="AH12" s="93" t="s">
        <v>7</v>
      </c>
      <c r="AI12" s="93" t="s">
        <v>5</v>
      </c>
      <c r="AJ12" s="93"/>
      <c r="AK12" s="93" t="s">
        <v>14</v>
      </c>
      <c r="AL12" s="93" t="s">
        <v>7</v>
      </c>
      <c r="AM12" s="93" t="s">
        <v>5</v>
      </c>
      <c r="AN12" s="93"/>
      <c r="AO12" s="93" t="s">
        <v>14</v>
      </c>
      <c r="AP12" s="93" t="s">
        <v>7</v>
      </c>
      <c r="AQ12" s="93" t="s">
        <v>5</v>
      </c>
      <c r="AR12" s="93"/>
    </row>
    <row r="13" spans="1:44" ht="12.75">
      <c r="A13" s="26" t="s">
        <v>80</v>
      </c>
      <c r="B13" s="95">
        <f>SUM(D13*3)+E13</f>
        <v>0</v>
      </c>
      <c r="C13" s="96">
        <f>COUNT(Tabela!F13,Tabela!F15,Tabela!H17)</f>
        <v>0</v>
      </c>
      <c r="D13" s="96">
        <f>SUM(IF(Tabela!$F$13&gt;Tabela!$H$13,COUNT(Tabela!$F$13)),IF(Tabela!$F$15&gt;Tabela!$H$15,COUNT(Tabela!$F$15)),IF(Tabela!$H$17&gt;Tabela!$F$17,COUNT(Tabela!$H$17)))</f>
        <v>0</v>
      </c>
      <c r="E13" s="96">
        <f>SUM(IF(Tabela!$F$13=Tabela!$H$13,COUNT(Tabela!$F$13)),IF(Tabela!$F$15=Tabela!$H$15,COUNT(Tabela!$F$15)),IF(Tabela!$H$17=Tabela!$F$17,COUNT(Tabela!$H$17)))</f>
        <v>0</v>
      </c>
      <c r="F13" s="96">
        <f>SUM(IF(Tabela!$F$13&lt;Tabela!$H$13,COUNT(Tabela!$F$13)),IF(Tabela!$F$15&lt;Tabela!$H$15,COUNT(Tabela!$F$15)),IF(Tabela!$H$17&lt;Tabela!$F$177,COUNT(Tabela!$H$17)))</f>
        <v>0</v>
      </c>
      <c r="G13" s="96">
        <f>SUM(Tabela!F13+Tabela!F15+Tabela!H17)</f>
        <v>0</v>
      </c>
      <c r="H13" s="96">
        <f>SUM(Tabela!H13+Tabela!H15+Tabela!F17)</f>
        <v>0</v>
      </c>
      <c r="I13" s="96">
        <f>SUM(G13-H13)</f>
        <v>0</v>
      </c>
      <c r="J13" s="95"/>
      <c r="K13" s="93" t="str">
        <f>IF(B13&gt;=B14,A13,A14)</f>
        <v>Espanha</v>
      </c>
      <c r="L13" s="93">
        <f>VLOOKUP(K13,$A$13:$I$16,2,FALSE)</f>
        <v>0</v>
      </c>
      <c r="M13" s="93"/>
      <c r="N13" s="93" t="str">
        <f>IF(L13&gt;=L15,K13,K15)</f>
        <v>Espanha</v>
      </c>
      <c r="O13" s="93">
        <f>VLOOKUP(N13,$A$13:$I$16,2,FALSE)</f>
        <v>0</v>
      </c>
      <c r="P13" s="93"/>
      <c r="Q13" s="93" t="str">
        <f>IF(O13&gt;=O16,N13,N16)</f>
        <v>Espanha</v>
      </c>
      <c r="R13" s="93">
        <f>VLOOKUP(Q13,$A$13:$I$16,2,FALSE)</f>
        <v>0</v>
      </c>
      <c r="S13" s="93">
        <f>VLOOKUP(Q13,$A$13:$I$16,9,FALSE)</f>
        <v>0</v>
      </c>
      <c r="T13" s="93"/>
      <c r="U13" s="93" t="str">
        <f>IF(AND(R13=R14,S14&gt;S13),Q14,Q13)</f>
        <v>Espanha</v>
      </c>
      <c r="V13" s="93">
        <f>VLOOKUP(U13,$A$13:$I$16,2,FALSE)</f>
        <v>0</v>
      </c>
      <c r="W13" s="93">
        <f>VLOOKUP(U13,$A$13:$I$16,9,FALSE)</f>
        <v>0</v>
      </c>
      <c r="X13" s="93" t="str">
        <f>IF(AND(V13=V15,W15&gt;W13),U15,U13)</f>
        <v>Espanha</v>
      </c>
      <c r="Y13" s="93">
        <f>VLOOKUP(X13,$A$13:$I$16,2,FALSE)</f>
        <v>0</v>
      </c>
      <c r="Z13" s="93">
        <f>VLOOKUP(X13,$A$13:$I$16,9,FALSE)</f>
        <v>0</v>
      </c>
      <c r="AA13" s="93"/>
      <c r="AB13" s="93" t="str">
        <f>IF(AND(Y13=Y16,Z16&gt;Z13),X16,X13)</f>
        <v>Espanha</v>
      </c>
      <c r="AC13" s="93">
        <f>VLOOKUP(AB13,$A$13:$I$16,2,FALSE)</f>
        <v>0</v>
      </c>
      <c r="AD13" s="93">
        <f>VLOOKUP(AB13,$A$13:$I$16,9,FALSE)</f>
        <v>0</v>
      </c>
      <c r="AE13" s="93">
        <f>VLOOKUP(AB13,$A$13:$I$16,7,FALSE)</f>
        <v>0</v>
      </c>
      <c r="AF13" s="93" t="str">
        <f>IF(AND(AC13=AC14,AD13=AD14,AE14&gt;AE13),AB14,AB13)</f>
        <v>Espanha</v>
      </c>
      <c r="AG13" s="93">
        <f>VLOOKUP(AF13,$A$13:$I$16,2,FALSE)</f>
        <v>0</v>
      </c>
      <c r="AH13" s="93">
        <f>VLOOKUP(AF13,$A$13:$I$16,9,FALSE)</f>
        <v>0</v>
      </c>
      <c r="AI13" s="93">
        <f>VLOOKUP(AF13,$A$13:$I$16,7,FALSE)</f>
        <v>0</v>
      </c>
      <c r="AJ13" s="93" t="str">
        <f>IF(AND(AG13=AG15,AH13=AH15,AI15&gt;AI13),AF15,AF13)</f>
        <v>Espanha</v>
      </c>
      <c r="AK13" s="93">
        <f>VLOOKUP(AJ13,$A$13:$I$16,2,FALSE)</f>
        <v>0</v>
      </c>
      <c r="AL13" s="93">
        <f>VLOOKUP(AJ13,$A$13:$I$16,9,FALSE)</f>
        <v>0</v>
      </c>
      <c r="AM13" s="93">
        <f>VLOOKUP(AJ13,$A$13:$I$16,7,FALSE)</f>
        <v>0</v>
      </c>
      <c r="AN13" s="93" t="str">
        <f>IF(AND(AK13=AK16,AL13=AL16,AM16&gt;AM13),AJ16,AJ13)</f>
        <v>Espanha</v>
      </c>
      <c r="AO13" s="93">
        <f>VLOOKUP(AN13,$A$13:$I$16,2,FALSE)</f>
        <v>0</v>
      </c>
      <c r="AP13" s="93">
        <f>VLOOKUP(AN13,$A$13:$I$16,9,FALSE)</f>
        <v>0</v>
      </c>
      <c r="AQ13" s="93">
        <f>VLOOKUP(AN13,$A$13:$I$16,7,FALSE)</f>
        <v>0</v>
      </c>
      <c r="AR13" s="93"/>
    </row>
    <row r="14" spans="1:44" ht="12.75">
      <c r="A14" s="26" t="s">
        <v>104</v>
      </c>
      <c r="B14" s="95">
        <f>SUM(D14*3)+E14</f>
        <v>0</v>
      </c>
      <c r="C14" s="96">
        <f>COUNT(Tabela!H13,Tabela!H16,Tabela!F18)</f>
        <v>0</v>
      </c>
      <c r="D14" s="96">
        <f>SUM(IF(Tabela!$H$13&gt;Tabela!$F$13,COUNT(Tabela!$H$13)),IF(Tabela!$H$16&gt;Tabela!$F$16,COUNT(Tabela!$H$16)),IF(Tabela!$F$18&gt;Tabela!$H$18,COUNT(Tabela!$F$18)))</f>
        <v>0</v>
      </c>
      <c r="E14" s="96">
        <f>SUM(IF(Tabela!$H$13=Tabela!$F$13,COUNT(Tabela!$H$13)),IF(Tabela!$H$16=Tabela!$F$16,COUNT(Tabela!$H$16)),IF(Tabela!$F$18=Tabela!$H$18,COUNT(Tabela!$F$18)))</f>
        <v>0</v>
      </c>
      <c r="F14" s="96">
        <f>SUM(IF(Tabela!$H$13&lt;Tabela!$F$13,COUNT(Tabela!$H$13)),IF(Tabela!$H$16&lt;Tabela!$F$16,COUNT(Tabela!$H$16)),IF(Tabela!$F$18&lt;Tabela!$H$18,COUNT(Tabela!$F$18)))</f>
        <v>0</v>
      </c>
      <c r="G14" s="96">
        <f>SUM(Tabela!H13+Tabela!H16+Tabela!F18)</f>
        <v>0</v>
      </c>
      <c r="H14" s="96">
        <f>SUM(Tabela!F13+Tabela!F16+Tabela!H18)</f>
        <v>0</v>
      </c>
      <c r="I14" s="96">
        <f>SUM(G14-H14)</f>
        <v>0</v>
      </c>
      <c r="J14" s="95"/>
      <c r="K14" s="93" t="str">
        <f>IF(B14&lt;=B13,A14,A13)</f>
        <v>Holanda</v>
      </c>
      <c r="L14" s="93">
        <f>VLOOKUP(K14,$A$13:$I$16,2,FALSE)</f>
        <v>0</v>
      </c>
      <c r="M14" s="93"/>
      <c r="N14" s="93" t="str">
        <f>IF(L14&gt;=L16,K14,K16)</f>
        <v>Holanda</v>
      </c>
      <c r="O14" s="93">
        <f>VLOOKUP(N14,$A$13:$I$16,2,FALSE)</f>
        <v>0</v>
      </c>
      <c r="P14" s="93"/>
      <c r="Q14" s="93" t="str">
        <f>IF(O14&gt;=O15,N14,N15)</f>
        <v>Holanda</v>
      </c>
      <c r="R14" s="93">
        <f>VLOOKUP(Q14,$A$13:$I$16,2,FALSE)</f>
        <v>0</v>
      </c>
      <c r="S14" s="93">
        <f>VLOOKUP(Q14,$A$13:$I$16,9,FALSE)</f>
        <v>0</v>
      </c>
      <c r="T14" s="93"/>
      <c r="U14" s="93" t="str">
        <f>IF(AND(R13=R14,S14&gt;S13),Q13,Q14)</f>
        <v>Holanda</v>
      </c>
      <c r="V14" s="93">
        <f>VLOOKUP(U14,$A$13:$I$16,2,FALSE)</f>
        <v>0</v>
      </c>
      <c r="W14" s="93">
        <f>VLOOKUP(U14,$A$13:$I$16,9,FALSE)</f>
        <v>0</v>
      </c>
      <c r="X14" s="93" t="str">
        <f>IF(AND(V14=V16,W16&gt;W14),U16,U14)</f>
        <v>Holanda</v>
      </c>
      <c r="Y14" s="93">
        <f>VLOOKUP(X14,$A$13:$I$16,2,FALSE)</f>
        <v>0</v>
      </c>
      <c r="Z14" s="93">
        <f>VLOOKUP(X14,$A$13:$I$16,9,FALSE)</f>
        <v>0</v>
      </c>
      <c r="AA14" s="93"/>
      <c r="AB14" s="93" t="str">
        <f>IF(AND(Y14=Y15,Z15&gt;Z14),X15,X14)</f>
        <v>Holanda</v>
      </c>
      <c r="AC14" s="93">
        <f>VLOOKUP(AB14,$A$13:$I$16,2,FALSE)</f>
        <v>0</v>
      </c>
      <c r="AD14" s="93">
        <f>VLOOKUP(AB14,$A$13:$I$16,9,FALSE)</f>
        <v>0</v>
      </c>
      <c r="AE14" s="93">
        <f>VLOOKUP(AB14,$A$13:$I$16,7,FALSE)</f>
        <v>0</v>
      </c>
      <c r="AF14" s="93" t="str">
        <f>IF(AND(AC14=AC13,AD14=AD13,AE14&gt;AE13),AB13,AB14)</f>
        <v>Holanda</v>
      </c>
      <c r="AG14" s="93">
        <f>VLOOKUP(AF14,$A$13:$I$16,2,FALSE)</f>
        <v>0</v>
      </c>
      <c r="AH14" s="93">
        <f>VLOOKUP(AF14,$A$13:$I$16,9,FALSE)</f>
        <v>0</v>
      </c>
      <c r="AI14" s="93">
        <f>VLOOKUP(AF14,$A$13:$I$16,7,FALSE)</f>
        <v>0</v>
      </c>
      <c r="AJ14" s="93" t="str">
        <f>IF(AND(AG14=AG16,AH14=AH16,AI16&gt;AI14),AF16,AF14)</f>
        <v>Holanda</v>
      </c>
      <c r="AK14" s="93">
        <f>VLOOKUP(AJ14,$A$13:$I$16,2,FALSE)</f>
        <v>0</v>
      </c>
      <c r="AL14" s="93">
        <f>VLOOKUP(AJ14,$A$13:$I$16,9,FALSE)</f>
        <v>0</v>
      </c>
      <c r="AM14" s="93">
        <f>VLOOKUP(AJ14,$A$13:$I$16,7,FALSE)</f>
        <v>0</v>
      </c>
      <c r="AN14" s="93" t="str">
        <f>IF(AND(AK14=AK15,AL14=AL15,AM15&gt;AM14),AJ15,AJ14)</f>
        <v>Holanda</v>
      </c>
      <c r="AO14" s="93">
        <f>VLOOKUP(AN14,$A$13:$I$16,2,FALSE)</f>
        <v>0</v>
      </c>
      <c r="AP14" s="93">
        <f>VLOOKUP(AN14,$A$13:$I$16,9,FALSE)</f>
        <v>0</v>
      </c>
      <c r="AQ14" s="93">
        <f>VLOOKUP(AN14,$A$13:$I$16,7,FALSE)</f>
        <v>0</v>
      </c>
      <c r="AR14" s="93"/>
    </row>
    <row r="15" spans="1:44" ht="12.75">
      <c r="A15" s="26" t="s">
        <v>88</v>
      </c>
      <c r="B15" s="95">
        <f>SUM(D15*3)+E15</f>
        <v>0</v>
      </c>
      <c r="C15" s="96">
        <f>COUNT(Tabela!F14,Tabela!H15,Tabela!H18)</f>
        <v>0</v>
      </c>
      <c r="D15" s="96">
        <f>SUM(IF(Tabela!$F$14&gt;Tabela!$H$14,COUNT(Tabela!$F$14)),IF(Tabela!$H$15&gt;Tabela!$F$15,COUNT(Tabela!$H$15)),IF(Tabela!$H$18&gt;Tabela!$F$18,COUNT(Tabela!$H$18)))</f>
        <v>0</v>
      </c>
      <c r="E15" s="96">
        <f>SUM(IF(Tabela!$F$14=Tabela!$H$14,COUNT(Tabela!$F$14)),IF(Tabela!$H$15=Tabela!$F$15,COUNT(Tabela!$H$15)),IF(Tabela!$H$18=Tabela!$F$18,COUNT(Tabela!$H$18)))</f>
        <v>0</v>
      </c>
      <c r="F15" s="96">
        <f>SUM(IF(Tabela!$F$14&lt;Tabela!$H$14,COUNT(Tabela!$F$14)),IF(Tabela!$H$15&lt;Tabela!$F$15,COUNT(Tabela!$H$15)),IF(Tabela!$H$18&lt;Tabela!$F$18,COUNT(Tabela!$H$18)))</f>
        <v>0</v>
      </c>
      <c r="G15" s="96">
        <f>SUM(Tabela!F14+Tabela!H15+Tabela!H18)</f>
        <v>0</v>
      </c>
      <c r="H15" s="96">
        <f>SUM(Tabela!H14+Tabela!F15+Tabela!F18)</f>
        <v>0</v>
      </c>
      <c r="I15" s="96">
        <f>SUM(G15-H15)</f>
        <v>0</v>
      </c>
      <c r="J15" s="95"/>
      <c r="K15" s="93" t="str">
        <f>IF(B15&gt;=B16,A15,A16)</f>
        <v>Chile</v>
      </c>
      <c r="L15" s="93">
        <f>VLOOKUP(K15,$A$13:$I$16,2,FALSE)</f>
        <v>0</v>
      </c>
      <c r="M15" s="93"/>
      <c r="N15" s="93" t="str">
        <f>IF(L15&lt;=L13,K15,K13)</f>
        <v>Chile</v>
      </c>
      <c r="O15" s="93">
        <f>VLOOKUP(N15,$A$13:$I$16,2,FALSE)</f>
        <v>0</v>
      </c>
      <c r="P15" s="93"/>
      <c r="Q15" s="93" t="str">
        <f>IF(O15&lt;=O14,N15,N14)</f>
        <v>Chile</v>
      </c>
      <c r="R15" s="93">
        <f>VLOOKUP(Q15,$A$13:$I$16,2,FALSE)</f>
        <v>0</v>
      </c>
      <c r="S15" s="93">
        <f>VLOOKUP(Q15,$A$13:$I$16,9,FALSE)</f>
        <v>0</v>
      </c>
      <c r="T15" s="93"/>
      <c r="U15" s="93" t="str">
        <f>IF(AND(R15=R16,S16&gt;S15),Q16,Q15)</f>
        <v>Chile</v>
      </c>
      <c r="V15" s="93">
        <f>VLOOKUP(U15,$A$13:$I$16,2,FALSE)</f>
        <v>0</v>
      </c>
      <c r="W15" s="93">
        <f>VLOOKUP(U15,$A$13:$I$16,9,FALSE)</f>
        <v>0</v>
      </c>
      <c r="X15" s="93" t="str">
        <f>IF(AND(V13=V15,W15&gt;W13),U13,U15)</f>
        <v>Chile</v>
      </c>
      <c r="Y15" s="93">
        <f>VLOOKUP(X15,$A$13:$I$16,2,FALSE)</f>
        <v>0</v>
      </c>
      <c r="Z15" s="93">
        <f>VLOOKUP(X15,$A$13:$I$16,9,FALSE)</f>
        <v>0</v>
      </c>
      <c r="AA15" s="93"/>
      <c r="AB15" s="93" t="str">
        <f>IF(AND(Y15=Y14,Z15&gt;Z14),X14,X15)</f>
        <v>Chile</v>
      </c>
      <c r="AC15" s="93">
        <f>VLOOKUP(AB15,$A$13:$I$16,2,FALSE)</f>
        <v>0</v>
      </c>
      <c r="AD15" s="93">
        <f>VLOOKUP(AB15,$A$13:$I$16,9,FALSE)</f>
        <v>0</v>
      </c>
      <c r="AE15" s="93">
        <f>VLOOKUP(AB15,$A$13:$I$16,7,FALSE)</f>
        <v>0</v>
      </c>
      <c r="AF15" s="93" t="str">
        <f>IF(AND(AC15=AC16,AD15=AD16,AE16&gt;AE15),AB16,AB15)</f>
        <v>Chile</v>
      </c>
      <c r="AG15" s="93">
        <f>VLOOKUP(AF15,$A$13:$I$16,2,FALSE)</f>
        <v>0</v>
      </c>
      <c r="AH15" s="93">
        <f>VLOOKUP(AF15,$A$13:$I$16,9,FALSE)</f>
        <v>0</v>
      </c>
      <c r="AI15" s="93">
        <f>VLOOKUP(AF15,$A$13:$I$16,7,FALSE)</f>
        <v>0</v>
      </c>
      <c r="AJ15" s="93" t="str">
        <f>IF(AND(AG15=AG13,AH15=AH13,AI15&gt;AI13),AF13,AF15)</f>
        <v>Chile</v>
      </c>
      <c r="AK15" s="93">
        <f>VLOOKUP(AJ15,$A$13:$I$16,2,FALSE)</f>
        <v>0</v>
      </c>
      <c r="AL15" s="93">
        <f>VLOOKUP(AJ15,$A$13:$I$16,9,FALSE)</f>
        <v>0</v>
      </c>
      <c r="AM15" s="93">
        <f>VLOOKUP(AJ15,$A$13:$I$16,7,FALSE)</f>
        <v>0</v>
      </c>
      <c r="AN15" s="93" t="str">
        <f>IF(AND(AK15=AK14,AL15=AL14,AM15&gt;AM14),AJ14,AJ15)</f>
        <v>Chile</v>
      </c>
      <c r="AO15" s="93">
        <f>VLOOKUP(AN15,$A$13:$I$16,2,FALSE)</f>
        <v>0</v>
      </c>
      <c r="AP15" s="93">
        <f>VLOOKUP(AN15,$A$13:$I$16,9,FALSE)</f>
        <v>0</v>
      </c>
      <c r="AQ15" s="93">
        <f>VLOOKUP(AN15,$A$13:$I$16,7,FALSE)</f>
        <v>0</v>
      </c>
      <c r="AR15" s="93"/>
    </row>
    <row r="16" spans="1:44" ht="12.75">
      <c r="A16" s="26" t="s">
        <v>95</v>
      </c>
      <c r="B16" s="95">
        <f>SUM(D16*3)+E16</f>
        <v>0</v>
      </c>
      <c r="C16" s="96">
        <f>COUNT(Tabela!H14,Tabela!F16,Tabela!F17)</f>
        <v>0</v>
      </c>
      <c r="D16" s="96">
        <f>SUM(IF(Tabela!$H$14&gt;Tabela!$F$14,COUNT(Tabela!$H$14)),IF(Tabela!$F$16&gt;Tabela!$H$16,COUNT(Tabela!$F$16)),IF(Tabela!$F$17&gt;Tabela!$H$17,COUNT(Tabela!$F$17)))</f>
        <v>0</v>
      </c>
      <c r="E16" s="96">
        <f>SUM(IF(Tabela!$H$14=Tabela!$F$14,COUNT(Tabela!$H$14)),IF(Tabela!$F$16=Tabela!$H$16,COUNT(Tabela!$F$16)),IF(Tabela!$F$17=Tabela!$H$17,COUNT(Tabela!$F$17)))</f>
        <v>0</v>
      </c>
      <c r="F16" s="96">
        <f>SUM(IF(Tabela!$H$14&lt;Tabela!$F$14,COUNT(Tabela!$H$14)),IF(Tabela!$F$16&lt;Tabela!$H$16,COUNT(Tabela!$F$16)),IF(Tabela!$F$17&lt;Tabela!$H$17,COUNT(Tabela!$F$17)))</f>
        <v>0</v>
      </c>
      <c r="G16" s="96">
        <f>SUM(Tabela!H14+Tabela!F16+Tabela!F17)</f>
        <v>0</v>
      </c>
      <c r="H16" s="96">
        <f>SUM(Tabela!F14+Tabela!H16+Tabela!H17)</f>
        <v>0</v>
      </c>
      <c r="I16" s="96">
        <f>SUM(G16-H16)</f>
        <v>0</v>
      </c>
      <c r="J16" s="95"/>
      <c r="K16" s="93" t="str">
        <f>IF(B16&lt;=B15,A16,A15)</f>
        <v>Australia</v>
      </c>
      <c r="L16" s="93">
        <f>VLOOKUP(K16,$A$13:$I$16,2,FALSE)</f>
        <v>0</v>
      </c>
      <c r="M16" s="93"/>
      <c r="N16" s="93" t="str">
        <f>IF(L16&lt;=L14,K16,K14)</f>
        <v>Australia</v>
      </c>
      <c r="O16" s="93">
        <f>VLOOKUP(N16,$A$13:$I$16,2,FALSE)</f>
        <v>0</v>
      </c>
      <c r="P16" s="93"/>
      <c r="Q16" s="93" t="str">
        <f>IF(O16&lt;=O13,N16,N13)</f>
        <v>Australia</v>
      </c>
      <c r="R16" s="93">
        <f>VLOOKUP(Q16,$A$13:$I$16,2,FALSE)</f>
        <v>0</v>
      </c>
      <c r="S16" s="93">
        <f>VLOOKUP(Q16,$A$13:$I$16,9,FALSE)</f>
        <v>0</v>
      </c>
      <c r="T16" s="93"/>
      <c r="U16" s="93" t="str">
        <f>IF(AND(R15=R16,S16&gt;S15),Q15,Q16)</f>
        <v>Australia</v>
      </c>
      <c r="V16" s="93">
        <f>VLOOKUP(U16,$A$13:$I$16,2,FALSE)</f>
        <v>0</v>
      </c>
      <c r="W16" s="93">
        <f>VLOOKUP(U16,$A$13:$I$16,9,FALSE)</f>
        <v>0</v>
      </c>
      <c r="X16" s="93" t="str">
        <f>IF(AND(V14=V16,W16&gt;W14),U14,U16)</f>
        <v>Australia</v>
      </c>
      <c r="Y16" s="93">
        <f>VLOOKUP(X16,$A$13:$I$16,2,FALSE)</f>
        <v>0</v>
      </c>
      <c r="Z16" s="93">
        <f>VLOOKUP(X16,$A$13:$I$16,9,FALSE)</f>
        <v>0</v>
      </c>
      <c r="AA16" s="93"/>
      <c r="AB16" s="93" t="str">
        <f>IF(AND(Y16=Y13,Z16&gt;Z13),X13,X16)</f>
        <v>Australia</v>
      </c>
      <c r="AC16" s="93">
        <f>VLOOKUP(AB16,$A$13:$I$16,2,FALSE)</f>
        <v>0</v>
      </c>
      <c r="AD16" s="93">
        <f>VLOOKUP(AB16,$A$13:$I$16,9,FALSE)</f>
        <v>0</v>
      </c>
      <c r="AE16" s="93">
        <f>VLOOKUP(AB16,$A$13:$I$16,7,FALSE)</f>
        <v>0</v>
      </c>
      <c r="AF16" s="93" t="str">
        <f>IF(AND(AC16=AC15,AD16=AD15,AE16&gt;AE15),X15,X16)</f>
        <v>Australia</v>
      </c>
      <c r="AG16" s="93">
        <f>VLOOKUP(AF16,$A$13:$I$16,2,FALSE)</f>
        <v>0</v>
      </c>
      <c r="AH16" s="93">
        <f>VLOOKUP(AF16,$A$13:$I$16,9,FALSE)</f>
        <v>0</v>
      </c>
      <c r="AI16" s="93">
        <f>VLOOKUP(AF16,$A$13:$I$16,7,FALSE)</f>
        <v>0</v>
      </c>
      <c r="AJ16" s="93" t="str">
        <f>IF(AND(AG14=AG16,AH14=AH16,AI16&gt;AI14),AF14,AF16)</f>
        <v>Australia</v>
      </c>
      <c r="AK16" s="93">
        <f>VLOOKUP(AJ16,$A$13:$I$16,2,FALSE)</f>
        <v>0</v>
      </c>
      <c r="AL16" s="93">
        <f>VLOOKUP(AJ16,$A$13:$I$16,9,FALSE)</f>
        <v>0</v>
      </c>
      <c r="AM16" s="93">
        <f>VLOOKUP(AJ16,$A$13:$I$16,7,FALSE)</f>
        <v>0</v>
      </c>
      <c r="AN16" s="93" t="str">
        <f>IF(AND(AK16=AK13,AL16=AL13,AM16&gt;AM13),AJ13,AJ16)</f>
        <v>Australia</v>
      </c>
      <c r="AO16" s="93">
        <f>VLOOKUP(AN16,$A$13:$I$16,2,FALSE)</f>
        <v>0</v>
      </c>
      <c r="AP16" s="93">
        <f>VLOOKUP(AN16,$A$13:$I$16,9,FALSE)</f>
        <v>0</v>
      </c>
      <c r="AQ16" s="93">
        <f>VLOOKUP(AN16,$A$13:$I$16,7,FALSE)</f>
        <v>0</v>
      </c>
      <c r="AR16" s="93"/>
    </row>
    <row r="17" spans="1:44" ht="12.75">
      <c r="A17" s="26"/>
      <c r="B17" s="6"/>
      <c r="C17" s="6"/>
      <c r="D17" s="6"/>
      <c r="E17" s="6"/>
      <c r="F17" s="6"/>
      <c r="G17" s="6"/>
      <c r="H17" s="6"/>
      <c r="I17" s="6"/>
      <c r="J17" s="6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</row>
    <row r="18" spans="1:44" ht="12.75">
      <c r="A18" s="26"/>
      <c r="B18" s="6"/>
      <c r="C18" s="6"/>
      <c r="D18" s="6"/>
      <c r="E18" s="6"/>
      <c r="F18" s="6"/>
      <c r="G18" s="6"/>
      <c r="H18" s="6"/>
      <c r="I18" s="6"/>
      <c r="J18" s="6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</row>
    <row r="19" spans="1:44" ht="12.75">
      <c r="A19" s="26"/>
      <c r="B19" s="160" t="s">
        <v>9</v>
      </c>
      <c r="C19" s="160"/>
      <c r="D19" s="160"/>
      <c r="E19" s="160"/>
      <c r="F19" s="160"/>
      <c r="G19" s="160"/>
      <c r="H19" s="160"/>
      <c r="I19" s="160"/>
      <c r="J19" s="6"/>
      <c r="K19" s="93" t="s">
        <v>16</v>
      </c>
      <c r="L19" s="93"/>
      <c r="M19" s="93"/>
      <c r="N19" s="93" t="s">
        <v>18</v>
      </c>
      <c r="O19" s="93"/>
      <c r="P19" s="93"/>
      <c r="Q19" s="93" t="s">
        <v>17</v>
      </c>
      <c r="R19" s="93"/>
      <c r="S19" s="93"/>
      <c r="T19" s="93"/>
      <c r="U19" s="93" t="s">
        <v>17</v>
      </c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</row>
    <row r="20" spans="1:44" ht="12.75">
      <c r="A20" s="58" t="s">
        <v>15</v>
      </c>
      <c r="B20" s="95" t="s">
        <v>14</v>
      </c>
      <c r="C20" s="96" t="s">
        <v>1</v>
      </c>
      <c r="D20" s="96" t="s">
        <v>2</v>
      </c>
      <c r="E20" s="96" t="s">
        <v>4</v>
      </c>
      <c r="F20" s="96" t="s">
        <v>3</v>
      </c>
      <c r="G20" s="96" t="s">
        <v>5</v>
      </c>
      <c r="H20" s="96" t="s">
        <v>6</v>
      </c>
      <c r="I20" s="96" t="s">
        <v>7</v>
      </c>
      <c r="J20" s="97"/>
      <c r="K20" s="93"/>
      <c r="L20" s="93" t="s">
        <v>14</v>
      </c>
      <c r="M20" s="93"/>
      <c r="N20" s="93"/>
      <c r="O20" s="93" t="s">
        <v>19</v>
      </c>
      <c r="P20" s="93"/>
      <c r="Q20" s="93"/>
      <c r="R20" s="93" t="s">
        <v>14</v>
      </c>
      <c r="S20" s="93" t="s">
        <v>7</v>
      </c>
      <c r="T20" s="93"/>
      <c r="U20" s="93"/>
      <c r="V20" s="93" t="s">
        <v>14</v>
      </c>
      <c r="W20" s="93" t="s">
        <v>7</v>
      </c>
      <c r="X20" s="93"/>
      <c r="Y20" s="93" t="s">
        <v>14</v>
      </c>
      <c r="Z20" s="93" t="s">
        <v>7</v>
      </c>
      <c r="AA20" s="93"/>
      <c r="AB20" s="93"/>
      <c r="AC20" s="93" t="s">
        <v>14</v>
      </c>
      <c r="AD20" s="93" t="s">
        <v>7</v>
      </c>
      <c r="AE20" s="93" t="s">
        <v>5</v>
      </c>
      <c r="AF20" s="93"/>
      <c r="AG20" s="93" t="s">
        <v>14</v>
      </c>
      <c r="AH20" s="93" t="s">
        <v>7</v>
      </c>
      <c r="AI20" s="93" t="s">
        <v>5</v>
      </c>
      <c r="AJ20" s="93"/>
      <c r="AK20" s="93" t="s">
        <v>14</v>
      </c>
      <c r="AL20" s="93" t="s">
        <v>7</v>
      </c>
      <c r="AM20" s="93" t="s">
        <v>5</v>
      </c>
      <c r="AN20" s="93"/>
      <c r="AO20" s="93" t="s">
        <v>14</v>
      </c>
      <c r="AP20" s="93" t="s">
        <v>7</v>
      </c>
      <c r="AQ20" s="93" t="s">
        <v>5</v>
      </c>
      <c r="AR20" s="93"/>
    </row>
    <row r="21" spans="1:44" ht="12.75">
      <c r="A21" s="26" t="s">
        <v>81</v>
      </c>
      <c r="B21" s="95">
        <f>SUM(D21*3)+E21</f>
        <v>0</v>
      </c>
      <c r="C21" s="96">
        <f>COUNT(Tabela!F21,Tabela!F23,Tabela!H25)</f>
        <v>0</v>
      </c>
      <c r="D21" s="96">
        <f>SUM(IF(Tabela!$F$21&gt;Tabela!$H$21,COUNT(Tabela!$F$21)),IF(Tabela!$F$23&gt;Tabela!$H$23,COUNT(Tabela!$F$23)),IF(Tabela!$H$25&gt;Tabela!$F$25,COUNT(Tabela!$H$25)))</f>
        <v>0</v>
      </c>
      <c r="E21" s="96">
        <f>SUM(IF(Tabela!$F$21=Tabela!$H$21,COUNT(Tabela!$F$21)),IF(Tabela!$F$23=Tabela!$H$23,COUNT(Tabela!$F$23)),IF(Tabela!$H$25=Tabela!$F$25,COUNT(Tabela!$H$25)))</f>
        <v>0</v>
      </c>
      <c r="F21" s="96">
        <f>SUM(IF(Tabela!$F$21&lt;Tabela!$H$21,COUNT(Tabela!$F$21)),IF(Tabela!$F$23&lt;Tabela!$H$23,COUNT(Tabela!$F$23)),IF(Tabela!$H$25&lt;Tabela!$F$25,COUNT(Tabela!$H$25)))</f>
        <v>0</v>
      </c>
      <c r="G21" s="96">
        <f>SUM(Tabela!F21+Tabela!F23+Tabela!H25)</f>
        <v>0</v>
      </c>
      <c r="H21" s="96">
        <f>SUM(Tabela!H21+Tabela!H23+Tabela!F25)</f>
        <v>0</v>
      </c>
      <c r="I21" s="96">
        <f>SUM(G21-H21)</f>
        <v>0</v>
      </c>
      <c r="J21" s="95"/>
      <c r="K21" s="93" t="str">
        <f>IF(B21&gt;=B22,A21,A22)</f>
        <v>Colombia</v>
      </c>
      <c r="L21" s="93">
        <f>VLOOKUP(K21,$A$21:$I$24,2,FALSE)</f>
        <v>0</v>
      </c>
      <c r="M21" s="93"/>
      <c r="N21" s="93" t="str">
        <f>IF(L21&gt;=L23,K21,K23)</f>
        <v>Colombia</v>
      </c>
      <c r="O21" s="93">
        <f>VLOOKUP(N21,$A$21:$I$24,2,FALSE)</f>
        <v>0</v>
      </c>
      <c r="P21" s="93"/>
      <c r="Q21" s="93" t="str">
        <f>IF(O21&gt;=O24,N21,N24)</f>
        <v>Colombia</v>
      </c>
      <c r="R21" s="93">
        <f>VLOOKUP(Q21,$A$21:$I$24,2,FALSE)</f>
        <v>0</v>
      </c>
      <c r="S21" s="93">
        <f>VLOOKUP(Q21,$A$21:$I$24,9,FALSE)</f>
        <v>0</v>
      </c>
      <c r="T21" s="93"/>
      <c r="U21" s="93" t="str">
        <f>IF(AND(R21=R22,S22&gt;S21),Q22,Q21)</f>
        <v>Colombia</v>
      </c>
      <c r="V21" s="93">
        <f>VLOOKUP(U21,$A$21:$I$24,2,FALSE)</f>
        <v>0</v>
      </c>
      <c r="W21" s="93">
        <f>VLOOKUP(U21,$A$21:$I$24,9,FALSE)</f>
        <v>0</v>
      </c>
      <c r="X21" s="93" t="str">
        <f>IF(AND(V21=V23,W23&gt;W21),U23,U21)</f>
        <v>Colombia</v>
      </c>
      <c r="Y21" s="93">
        <f>VLOOKUP(X21,$A$21:$I$24,2,FALSE)</f>
        <v>0</v>
      </c>
      <c r="Z21" s="93">
        <f>VLOOKUP(X21,$A$21:$I$24,9,FALSE)</f>
        <v>0</v>
      </c>
      <c r="AA21" s="93"/>
      <c r="AB21" s="93" t="str">
        <f>IF(AND(Y21=Y24,Z24&gt;Z21),X24,X21)</f>
        <v>Colombia</v>
      </c>
      <c r="AC21" s="93">
        <f>VLOOKUP(AB21,$A$21:$I$24,2,FALSE)</f>
        <v>0</v>
      </c>
      <c r="AD21" s="93">
        <f>VLOOKUP(AB21,$A$21:$I$24,9,FALSE)</f>
        <v>0</v>
      </c>
      <c r="AE21" s="93">
        <f>VLOOKUP(AB21,$A$21:$I$24,7,FALSE)</f>
        <v>0</v>
      </c>
      <c r="AF21" s="93" t="str">
        <f>IF(AND(AC21=AC22,AD21=AD22,AE22&gt;AE21),AB22,AB21)</f>
        <v>Colombia</v>
      </c>
      <c r="AG21" s="93">
        <f>VLOOKUP(AF21,$A$21:$I$24,2,FALSE)</f>
        <v>0</v>
      </c>
      <c r="AH21" s="93">
        <f>VLOOKUP(AF21,$A$21:$I$24,9,FALSE)</f>
        <v>0</v>
      </c>
      <c r="AI21" s="93">
        <f>VLOOKUP(AF21,$A$21:$I$24,7,FALSE)</f>
        <v>0</v>
      </c>
      <c r="AJ21" s="93" t="str">
        <f>IF(AND(AG21=AG23,AH21=AH23,AI23&gt;AI21),AF23,AF21)</f>
        <v>Colombia</v>
      </c>
      <c r="AK21" s="93">
        <f>VLOOKUP(AJ21,$A$21:$I$24,2,FALSE)</f>
        <v>0</v>
      </c>
      <c r="AL21" s="93">
        <f>VLOOKUP(AJ21,$A$21:$I$24,9,FALSE)</f>
        <v>0</v>
      </c>
      <c r="AM21" s="93">
        <f>VLOOKUP(AJ21,$A$21:$I$24,7,FALSE)</f>
        <v>0</v>
      </c>
      <c r="AN21" s="93" t="str">
        <f>IF(AND(AK21=AK24,AL21=AL24,AM24&gt;AM21),AJ24,AJ21)</f>
        <v>Colombia</v>
      </c>
      <c r="AO21" s="93">
        <f>VLOOKUP(AN21,$A$21:$I$24,2,FALSE)</f>
        <v>0</v>
      </c>
      <c r="AP21" s="93">
        <f>VLOOKUP(AN21,$A$21:$I$24,9,FALSE)</f>
        <v>0</v>
      </c>
      <c r="AQ21" s="93">
        <f>VLOOKUP(AN21,$A$21:$I$24,7,FALSE)</f>
        <v>0</v>
      </c>
      <c r="AR21" s="93"/>
    </row>
    <row r="22" spans="1:44" ht="12.75">
      <c r="A22" s="26" t="s">
        <v>105</v>
      </c>
      <c r="B22" s="95">
        <f>SUM(D22*3)+E22</f>
        <v>0</v>
      </c>
      <c r="C22" s="96">
        <f>COUNT(Tabela!H21,Tabela!H24,Tabela!F26)</f>
        <v>0</v>
      </c>
      <c r="D22" s="96">
        <f>SUM(IF(Tabela!$H$21&gt;Tabela!$F$21,COUNT(Tabela!$H$21)),IF(Tabela!$H$24&gt;Tabela!$F$24,COUNT(Tabela!$H$24)),IF(Tabela!$F$26&gt;Tabela!$H$26,COUNT(Tabela!$F$26)))</f>
        <v>0</v>
      </c>
      <c r="E22" s="96">
        <f>SUM(IF(Tabela!$H$21=Tabela!$F$21,COUNT(Tabela!$H$21)),IF(Tabela!$H$24=Tabela!$F$24,COUNT(Tabela!$H$24)),IF(Tabela!$F$26=Tabela!$H$26,COUNT(Tabela!$F$26)))</f>
        <v>0</v>
      </c>
      <c r="F22" s="96">
        <f>SUM(IF(Tabela!$H$21&lt;Tabela!$F$21,COUNT(Tabela!$H$21)),IF(Tabela!$H$24&lt;Tabela!$F$24,COUNT(Tabela!$H$24)),IF(Tabela!$F$26&lt;Tabela!$H$26,COUNT(Tabela!$F$26)))</f>
        <v>0</v>
      </c>
      <c r="G22" s="96">
        <f>SUM(Tabela!H21+Tabela!H24+Tabela!F26)</f>
        <v>0</v>
      </c>
      <c r="H22" s="96">
        <f>SUM(Tabela!F21+Tabela!F24+Tabela!H26)</f>
        <v>0</v>
      </c>
      <c r="I22" s="96">
        <f>SUM(G22-H22)</f>
        <v>0</v>
      </c>
      <c r="J22" s="95"/>
      <c r="K22" s="93" t="str">
        <f>IF(B22&lt;=B21,A22,A21)</f>
        <v>Grécia</v>
      </c>
      <c r="L22" s="93">
        <f>VLOOKUP(K22,$A$21:$I$24,2,FALSE)</f>
        <v>0</v>
      </c>
      <c r="M22" s="93"/>
      <c r="N22" s="93" t="str">
        <f>IF(L22&gt;=L24,K22,K24)</f>
        <v>Grécia</v>
      </c>
      <c r="O22" s="93">
        <f>VLOOKUP(N22,$A$21:$I$24,2,FALSE)</f>
        <v>0</v>
      </c>
      <c r="P22" s="93"/>
      <c r="Q22" s="93" t="str">
        <f>IF(O22&gt;=O23,N22,N23)</f>
        <v>Grécia</v>
      </c>
      <c r="R22" s="93">
        <f>VLOOKUP(Q22,$A$21:$I$24,2,FALSE)</f>
        <v>0</v>
      </c>
      <c r="S22" s="93">
        <f>VLOOKUP(Q22,$A$21:$I$24,9,FALSE)</f>
        <v>0</v>
      </c>
      <c r="T22" s="93"/>
      <c r="U22" s="93" t="str">
        <f>IF(AND(R21=R22,S22&gt;S21),Q21,Q22)</f>
        <v>Grécia</v>
      </c>
      <c r="V22" s="93">
        <f>VLOOKUP(U22,$A$21:$I$24,2,FALSE)</f>
        <v>0</v>
      </c>
      <c r="W22" s="93">
        <f>VLOOKUP(U22,$A$21:$I$24,9,FALSE)</f>
        <v>0</v>
      </c>
      <c r="X22" s="93" t="str">
        <f>IF(AND(V22=V24,W24&gt;W22),U24,U22)</f>
        <v>Grécia</v>
      </c>
      <c r="Y22" s="93">
        <f>VLOOKUP(X22,$A$21:$I$24,2,FALSE)</f>
        <v>0</v>
      </c>
      <c r="Z22" s="93">
        <f>VLOOKUP(X22,$A$21:$I$24,9,FALSE)</f>
        <v>0</v>
      </c>
      <c r="AA22" s="93"/>
      <c r="AB22" s="93" t="str">
        <f>IF(AND(Y22=Y23,Z23&gt;Z22),X23,X22)</f>
        <v>Grécia</v>
      </c>
      <c r="AC22" s="93">
        <f>VLOOKUP(AB22,$A$21:$I$24,2,FALSE)</f>
        <v>0</v>
      </c>
      <c r="AD22" s="93">
        <f>VLOOKUP(AB22,$A$21:$I$24,9,FALSE)</f>
        <v>0</v>
      </c>
      <c r="AE22" s="93">
        <f>VLOOKUP(AB22,$A$21:$I$24,7,FALSE)</f>
        <v>0</v>
      </c>
      <c r="AF22" s="93" t="str">
        <f>IF(AND(AC22=AC21,AD22=AD21,AE22&gt;AE21),AB21,AB22)</f>
        <v>Grécia</v>
      </c>
      <c r="AG22" s="93">
        <f>VLOOKUP(AF22,$A$21:$I$24,2,FALSE)</f>
        <v>0</v>
      </c>
      <c r="AH22" s="93">
        <f>VLOOKUP(AF22,$A$21:$I$24,9,FALSE)</f>
        <v>0</v>
      </c>
      <c r="AI22" s="93">
        <f>VLOOKUP(AF22,$A$21:$I$24,7,FALSE)</f>
        <v>0</v>
      </c>
      <c r="AJ22" s="93" t="str">
        <f>IF(AND(AG22=AG24,AH22=AH24,AI24&gt;AI22),AF24,AF22)</f>
        <v>Grécia</v>
      </c>
      <c r="AK22" s="93">
        <f>VLOOKUP(AJ22,$A$21:$I$24,2,FALSE)</f>
        <v>0</v>
      </c>
      <c r="AL22" s="93">
        <f>VLOOKUP(AJ22,$A$21:$I$24,9,FALSE)</f>
        <v>0</v>
      </c>
      <c r="AM22" s="93">
        <f>VLOOKUP(AJ22,$A$21:$I$24,7,FALSE)</f>
        <v>0</v>
      </c>
      <c r="AN22" s="93" t="str">
        <f>IF(AND(AK22=AK23,AL22=AL23,AM23&gt;AM22),AJ23,AJ22)</f>
        <v>Grécia</v>
      </c>
      <c r="AO22" s="93">
        <f>VLOOKUP(AN22,$A$21:$I$24,2,FALSE)</f>
        <v>0</v>
      </c>
      <c r="AP22" s="93">
        <f>VLOOKUP(AN22,$A$21:$I$24,9,FALSE)</f>
        <v>0</v>
      </c>
      <c r="AQ22" s="93">
        <f>VLOOKUP(AN22,$A$21:$I$24,7,FALSE)</f>
        <v>0</v>
      </c>
      <c r="AR22" s="93"/>
    </row>
    <row r="23" spans="1:44" ht="12.75">
      <c r="A23" s="26" t="s">
        <v>91</v>
      </c>
      <c r="B23" s="95">
        <f>SUM(D23*3)+E23</f>
        <v>0</v>
      </c>
      <c r="C23" s="96">
        <f>COUNT(Tabela!F22,Tabela!H23,Tabela!H26)</f>
        <v>0</v>
      </c>
      <c r="D23" s="96">
        <f>SUM(IF(Tabela!$F$22&gt;Tabela!$H$22,COUNT(Tabela!$F$22)),IF(Tabela!$H$23&gt;Tabela!$F$23,COUNT(Tabela!$H$23)),IF(Tabela!$H$26&gt;Tabela!$F$26,COUNT(Tabela!$H$26)))</f>
        <v>0</v>
      </c>
      <c r="E23" s="96">
        <f>SUM(IF(Tabela!$F$22=Tabela!$H$22,COUNT(Tabela!$F$22)),IF(Tabela!$H$23=Tabela!$F$23,COUNT(Tabela!$H$23)),IF(Tabela!$H$26=Tabela!$F$26,COUNT(Tabela!$H$26)))</f>
        <v>0</v>
      </c>
      <c r="F23" s="96">
        <f>SUM(IF(Tabela!$F$22&lt;Tabela!$H$22,COUNT(Tabela!$F$22)),IF(Tabela!$H$23&lt;Tabela!$F$23,COUNT(Tabela!$H$23)),IF(Tabela!$H$26&lt;Tabela!$F$26,COUNT(Tabela!$H$26)))</f>
        <v>0</v>
      </c>
      <c r="G23" s="96">
        <f>SUM(Tabela!F22+Tabela!H23+Tabela!H26)</f>
        <v>0</v>
      </c>
      <c r="H23" s="96">
        <f>SUM(Tabela!H22+Tabela!F23+Tabela!F26)</f>
        <v>0</v>
      </c>
      <c r="I23" s="96">
        <f>SUM(G23-H23)</f>
        <v>0</v>
      </c>
      <c r="J23" s="95"/>
      <c r="K23" s="93" t="str">
        <f>IF(B23&gt;=B24,A23,A24)</f>
        <v>Costa do Marfim</v>
      </c>
      <c r="L23" s="93">
        <f>VLOOKUP(K23,$A$21:$I$24,2,FALSE)</f>
        <v>0</v>
      </c>
      <c r="M23" s="93"/>
      <c r="N23" s="93" t="str">
        <f>IF(L23&lt;=L21,K23,K21)</f>
        <v>Costa do Marfim</v>
      </c>
      <c r="O23" s="93">
        <f>VLOOKUP(N23,$A$21:$I$24,2,FALSE)</f>
        <v>0</v>
      </c>
      <c r="P23" s="93"/>
      <c r="Q23" s="93" t="str">
        <f>IF(O23&lt;=O22,N23,N22)</f>
        <v>Costa do Marfim</v>
      </c>
      <c r="R23" s="93">
        <f>VLOOKUP(Q23,$A$21:$I$24,2,FALSE)</f>
        <v>0</v>
      </c>
      <c r="S23" s="93">
        <f>VLOOKUP(Q23,$A$21:$I$24,9,FALSE)</f>
        <v>0</v>
      </c>
      <c r="T23" s="93"/>
      <c r="U23" s="93" t="str">
        <f>IF(AND(R23=R24,S24&gt;S23),Q24,Q23)</f>
        <v>Costa do Marfim</v>
      </c>
      <c r="V23" s="93">
        <f>VLOOKUP(U23,$A$21:$I$24,2,FALSE)</f>
        <v>0</v>
      </c>
      <c r="W23" s="93">
        <f>VLOOKUP(U23,$A$21:$I$24,9,FALSE)</f>
        <v>0</v>
      </c>
      <c r="X23" s="93" t="str">
        <f>IF(AND(V21=V23,W23&gt;W21),U21,U23)</f>
        <v>Costa do Marfim</v>
      </c>
      <c r="Y23" s="93">
        <f>VLOOKUP(X23,$A$21:$I$24,2,FALSE)</f>
        <v>0</v>
      </c>
      <c r="Z23" s="93">
        <f>VLOOKUP(X23,$A$21:$I$24,9,FALSE)</f>
        <v>0</v>
      </c>
      <c r="AA23" s="93"/>
      <c r="AB23" s="93" t="str">
        <f>IF(AND(Y23=Y22,Z23&gt;Z22),X22,X23)</f>
        <v>Costa do Marfim</v>
      </c>
      <c r="AC23" s="93">
        <f>VLOOKUP(AB23,$A$21:$I$24,2,FALSE)</f>
        <v>0</v>
      </c>
      <c r="AD23" s="93">
        <f>VLOOKUP(AB23,$A$21:$I$24,9,FALSE)</f>
        <v>0</v>
      </c>
      <c r="AE23" s="93">
        <f>VLOOKUP(AB23,$A$21:$I$24,7,FALSE)</f>
        <v>0</v>
      </c>
      <c r="AF23" s="93" t="str">
        <f>IF(AND(AC23=AC24,AD23=AD24,AE24&gt;AE23),AB24,AB23)</f>
        <v>Costa do Marfim</v>
      </c>
      <c r="AG23" s="93">
        <f>VLOOKUP(AF23,$A$21:$I$24,2,FALSE)</f>
        <v>0</v>
      </c>
      <c r="AH23" s="93">
        <f>VLOOKUP(AF23,$A$21:$I$24,9,FALSE)</f>
        <v>0</v>
      </c>
      <c r="AI23" s="93">
        <f>VLOOKUP(AF23,$A$21:$I$24,7,FALSE)</f>
        <v>0</v>
      </c>
      <c r="AJ23" s="93" t="str">
        <f>IF(AND(AG23=AG21,AH23=AH21,AI23&gt;AI21),AF21,AF23)</f>
        <v>Costa do Marfim</v>
      </c>
      <c r="AK23" s="93">
        <f>VLOOKUP(AJ23,$A$21:$I$24,2,FALSE)</f>
        <v>0</v>
      </c>
      <c r="AL23" s="93">
        <f>VLOOKUP(AJ23,$A$21:$I$24,9,FALSE)</f>
        <v>0</v>
      </c>
      <c r="AM23" s="93">
        <f>VLOOKUP(AJ23,$A$21:$I$24,7,FALSE)</f>
        <v>0</v>
      </c>
      <c r="AN23" s="93" t="str">
        <f>IF(AND(AK23=AK22,AL23=AL22,AM23&gt;AM22),AJ22,AJ23)</f>
        <v>Costa do Marfim</v>
      </c>
      <c r="AO23" s="93">
        <f>VLOOKUP(AN23,$A$21:$I$24,2,FALSE)</f>
        <v>0</v>
      </c>
      <c r="AP23" s="93">
        <f>VLOOKUP(AN23,$A$21:$I$24,9,FALSE)</f>
        <v>0</v>
      </c>
      <c r="AQ23" s="93">
        <f>VLOOKUP(AN23,$A$21:$I$24,7,FALSE)</f>
        <v>0</v>
      </c>
      <c r="AR23" s="93"/>
    </row>
    <row r="24" spans="1:44" ht="12.75">
      <c r="A24" s="26" t="s">
        <v>96</v>
      </c>
      <c r="B24" s="95">
        <f>SUM(D24*3)+E24</f>
        <v>0</v>
      </c>
      <c r="C24" s="96">
        <f>COUNT(Tabela!H22,Tabela!F24,Tabela!F25)</f>
        <v>0</v>
      </c>
      <c r="D24" s="96">
        <f>SUM(IF(Tabela!$H$22&gt;Tabela!$F$22,COUNT(Tabela!$H$22)),IF(Tabela!$F$24&gt;Tabela!$H$24,COUNT(Tabela!$F$24)),IF(Tabela!$F$25&gt;Tabela!$H$25,COUNT(Tabela!$F$25)))</f>
        <v>0</v>
      </c>
      <c r="E24" s="96">
        <f>SUM(IF(Tabela!$H$22=Tabela!$F$22,COUNT(Tabela!$H$22)),IF(Tabela!$F$24=Tabela!$H$24,COUNT(Tabela!$F$24)),IF(Tabela!$F$25=Tabela!$H$25,COUNT(Tabela!$F$25)))</f>
        <v>0</v>
      </c>
      <c r="F24" s="96">
        <f>SUM(IF(Tabela!$H$22&lt;Tabela!$F$22,COUNT(Tabela!$H$22)),IF(Tabela!$F$24&lt;Tabela!$H$24,COUNT(Tabela!$F$24)),IF(Tabela!$F$25&lt;Tabela!$H$25,COUNT(Tabela!$F$25)))</f>
        <v>0</v>
      </c>
      <c r="G24" s="96">
        <f>SUM(Tabela!H22+Tabela!F24+Tabela!F25)</f>
        <v>0</v>
      </c>
      <c r="H24" s="96">
        <f>SUM(Tabela!F22+Tabela!H24+Tabela!H25)</f>
        <v>0</v>
      </c>
      <c r="I24" s="96">
        <f>SUM(G24-H24)</f>
        <v>0</v>
      </c>
      <c r="J24" s="95"/>
      <c r="K24" s="93" t="str">
        <f>IF(B24&lt;=B23,A24,A23)</f>
        <v>Japão</v>
      </c>
      <c r="L24" s="93">
        <f>VLOOKUP(K24,$A$21:$I$24,2,FALSE)</f>
        <v>0</v>
      </c>
      <c r="M24" s="93"/>
      <c r="N24" s="93" t="str">
        <f>IF(L24&lt;=L22,K24,K22)</f>
        <v>Japão</v>
      </c>
      <c r="O24" s="93">
        <f>VLOOKUP(N24,$A$21:$I$24,2,FALSE)</f>
        <v>0</v>
      </c>
      <c r="P24" s="93"/>
      <c r="Q24" s="93" t="str">
        <f>IF(O24&lt;=O21,N24,N21)</f>
        <v>Japão</v>
      </c>
      <c r="R24" s="93">
        <f>VLOOKUP(Q24,$A$21:$I$24,2,FALSE)</f>
        <v>0</v>
      </c>
      <c r="S24" s="93">
        <f>VLOOKUP(Q24,$A$21:$I$24,9,FALSE)</f>
        <v>0</v>
      </c>
      <c r="T24" s="93"/>
      <c r="U24" s="93" t="str">
        <f>IF(AND(R23=R24,S24&gt;S23),Q23,Q24)</f>
        <v>Japão</v>
      </c>
      <c r="V24" s="93">
        <f>VLOOKUP(U24,$A$21:$I$24,2,FALSE)</f>
        <v>0</v>
      </c>
      <c r="W24" s="93">
        <f>VLOOKUP(U24,$A$21:$I$24,9,FALSE)</f>
        <v>0</v>
      </c>
      <c r="X24" s="93" t="str">
        <f>IF(AND(V22=V24,W24&gt;W22),U22,U24)</f>
        <v>Japão</v>
      </c>
      <c r="Y24" s="93">
        <f>VLOOKUP(X24,$A$21:$I$24,2,FALSE)</f>
        <v>0</v>
      </c>
      <c r="Z24" s="93">
        <f>VLOOKUP(X24,$A$21:$I$24,9,FALSE)</f>
        <v>0</v>
      </c>
      <c r="AA24" s="93"/>
      <c r="AB24" s="93" t="str">
        <f>IF(AND(Y24=Y21,Z24&gt;Z21),X21,X24)</f>
        <v>Japão</v>
      </c>
      <c r="AC24" s="93">
        <f>VLOOKUP(AB24,$A$21:$I$24,2,FALSE)</f>
        <v>0</v>
      </c>
      <c r="AD24" s="93">
        <f>VLOOKUP(AB24,$A$21:$I$24,9,FALSE)</f>
        <v>0</v>
      </c>
      <c r="AE24" s="93">
        <f>VLOOKUP(AB24,$A$21:$I$24,7,FALSE)</f>
        <v>0</v>
      </c>
      <c r="AF24" s="93" t="str">
        <f>IF(AND(AC24=AC23,AD24=AD23,AE24&gt;AE23),X23,X24)</f>
        <v>Japão</v>
      </c>
      <c r="AG24" s="93">
        <f>VLOOKUP(AF24,$A$21:$I$24,2,FALSE)</f>
        <v>0</v>
      </c>
      <c r="AH24" s="93">
        <f>VLOOKUP(AF24,$A$21:$I$24,9,FALSE)</f>
        <v>0</v>
      </c>
      <c r="AI24" s="93">
        <f>VLOOKUP(AF24,$A$21:$I$24,7,FALSE)</f>
        <v>0</v>
      </c>
      <c r="AJ24" s="93" t="str">
        <f>IF(AND(AG22=AG24,AH22=AH24,AI24&gt;AI22),AF22,AF24)</f>
        <v>Japão</v>
      </c>
      <c r="AK24" s="93">
        <f>VLOOKUP(AJ24,$A$21:$I$24,2,FALSE)</f>
        <v>0</v>
      </c>
      <c r="AL24" s="93">
        <f>VLOOKUP(AJ24,$A$21:$I$24,9,FALSE)</f>
        <v>0</v>
      </c>
      <c r="AM24" s="93">
        <f>VLOOKUP(AJ24,$A$21:$I$24,7,FALSE)</f>
        <v>0</v>
      </c>
      <c r="AN24" s="93" t="str">
        <f>IF(AND(AK24=AK21,AL24=AL21,AM24&gt;AM21),AJ21,AJ24)</f>
        <v>Japão</v>
      </c>
      <c r="AO24" s="93">
        <f>VLOOKUP(AN24,$A$21:$I$24,2,FALSE)</f>
        <v>0</v>
      </c>
      <c r="AP24" s="93">
        <f>VLOOKUP(AN24,$A$21:$I$24,9,FALSE)</f>
        <v>0</v>
      </c>
      <c r="AQ24" s="93">
        <f>VLOOKUP(AN24,$A$21:$I$24,7,FALSE)</f>
        <v>0</v>
      </c>
      <c r="AR24" s="93"/>
    </row>
    <row r="25" spans="1:44" ht="12.75">
      <c r="A25" s="26"/>
      <c r="B25" s="6"/>
      <c r="C25" s="6"/>
      <c r="D25" s="6"/>
      <c r="E25" s="6"/>
      <c r="F25" s="6"/>
      <c r="G25" s="6"/>
      <c r="H25" s="6"/>
      <c r="I25" s="6"/>
      <c r="J25" s="6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</row>
    <row r="26" spans="1:44" ht="12.75">
      <c r="A26" s="26"/>
      <c r="B26" s="6"/>
      <c r="C26" s="6"/>
      <c r="D26" s="6"/>
      <c r="E26" s="6"/>
      <c r="F26" s="6"/>
      <c r="G26" s="6"/>
      <c r="H26" s="6"/>
      <c r="I26" s="6"/>
      <c r="J26" s="6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</row>
    <row r="27" spans="1:44" ht="12.75">
      <c r="A27" s="26"/>
      <c r="B27" s="160" t="s">
        <v>10</v>
      </c>
      <c r="C27" s="160"/>
      <c r="D27" s="160"/>
      <c r="E27" s="160"/>
      <c r="F27" s="160"/>
      <c r="G27" s="160"/>
      <c r="H27" s="160"/>
      <c r="I27" s="160"/>
      <c r="J27" s="6"/>
      <c r="K27" s="93" t="s">
        <v>16</v>
      </c>
      <c r="L27" s="93"/>
      <c r="M27" s="93"/>
      <c r="N27" s="93" t="s">
        <v>18</v>
      </c>
      <c r="O27" s="93"/>
      <c r="P27" s="93"/>
      <c r="Q27" s="93" t="s">
        <v>17</v>
      </c>
      <c r="R27" s="93"/>
      <c r="S27" s="93"/>
      <c r="T27" s="93"/>
      <c r="U27" s="93" t="s">
        <v>17</v>
      </c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</row>
    <row r="28" spans="1:44" ht="12.75">
      <c r="A28" s="58" t="s">
        <v>15</v>
      </c>
      <c r="B28" s="95" t="s">
        <v>14</v>
      </c>
      <c r="C28" s="96" t="s">
        <v>1</v>
      </c>
      <c r="D28" s="96" t="s">
        <v>2</v>
      </c>
      <c r="E28" s="96" t="s">
        <v>4</v>
      </c>
      <c r="F28" s="96" t="s">
        <v>3</v>
      </c>
      <c r="G28" s="96" t="s">
        <v>5</v>
      </c>
      <c r="H28" s="96" t="s">
        <v>6</v>
      </c>
      <c r="I28" s="96" t="s">
        <v>7</v>
      </c>
      <c r="J28" s="97"/>
      <c r="K28" s="93"/>
      <c r="L28" s="93" t="s">
        <v>14</v>
      </c>
      <c r="M28" s="93"/>
      <c r="N28" s="93"/>
      <c r="O28" s="93" t="s">
        <v>19</v>
      </c>
      <c r="P28" s="93"/>
      <c r="Q28" s="93"/>
      <c r="R28" s="93" t="s">
        <v>14</v>
      </c>
      <c r="S28" s="93" t="s">
        <v>7</v>
      </c>
      <c r="T28" s="93"/>
      <c r="U28" s="93"/>
      <c r="V28" s="93" t="s">
        <v>14</v>
      </c>
      <c r="W28" s="93" t="s">
        <v>7</v>
      </c>
      <c r="X28" s="93"/>
      <c r="Y28" s="93" t="s">
        <v>14</v>
      </c>
      <c r="Z28" s="93" t="s">
        <v>7</v>
      </c>
      <c r="AA28" s="93"/>
      <c r="AB28" s="93"/>
      <c r="AC28" s="93" t="s">
        <v>14</v>
      </c>
      <c r="AD28" s="93" t="s">
        <v>7</v>
      </c>
      <c r="AE28" s="93" t="s">
        <v>5</v>
      </c>
      <c r="AF28" s="93"/>
      <c r="AG28" s="93" t="s">
        <v>14</v>
      </c>
      <c r="AH28" s="93" t="s">
        <v>7</v>
      </c>
      <c r="AI28" s="93" t="s">
        <v>5</v>
      </c>
      <c r="AJ28" s="93"/>
      <c r="AK28" s="93" t="s">
        <v>14</v>
      </c>
      <c r="AL28" s="93" t="s">
        <v>7</v>
      </c>
      <c r="AM28" s="93" t="s">
        <v>5</v>
      </c>
      <c r="AN28" s="93"/>
      <c r="AO28" s="93" t="s">
        <v>14</v>
      </c>
      <c r="AP28" s="93" t="s">
        <v>7</v>
      </c>
      <c r="AQ28" s="93" t="s">
        <v>5</v>
      </c>
      <c r="AR28" s="93"/>
    </row>
    <row r="29" spans="1:44" ht="12.75">
      <c r="A29" s="26" t="s">
        <v>82</v>
      </c>
      <c r="B29" s="95">
        <f>SUM(D29*3)+E29</f>
        <v>0</v>
      </c>
      <c r="C29" s="96">
        <f>COUNT(Tabela!F29,Tabela!F31,Tabela!H33)</f>
        <v>0</v>
      </c>
      <c r="D29" s="96">
        <f>SUM(IF(Tabela!$F$29&gt;Tabela!$H$29,COUNT(Tabela!$F$29)),IF(Tabela!$F$31&gt;Tabela!$H$31,COUNT(Tabela!$F$31)),IF(Tabela!$H$33&gt;Tabela!$F$33,COUNT(Tabela!$H$33)))</f>
        <v>0</v>
      </c>
      <c r="E29" s="96">
        <f>SUM(IF(Tabela!$F$29=Tabela!$H$29,COUNT(Tabela!$F$29)),IF(Tabela!$F$31=Tabela!$H$31,COUNT(Tabela!$F$31)),IF(Tabela!$H$33=Tabela!$F$33,COUNT(Tabela!$H$33)))</f>
        <v>0</v>
      </c>
      <c r="F29" s="96">
        <f>SUM(IF(Tabela!$F$29&lt;Tabela!$H$29,COUNT(Tabela!$F$29)),IF(Tabela!$F$31&lt;Tabela!$H$31,COUNT(Tabela!$F$31)),IF(Tabela!$H$33&lt;Tabela!$F$33,COUNT(Tabela!$H$33)))</f>
        <v>0</v>
      </c>
      <c r="G29" s="96">
        <f>SUM(Tabela!F29+Tabela!F31+Tabela!H33)</f>
        <v>0</v>
      </c>
      <c r="H29" s="96">
        <f>SUM(Tabela!H29+Tabela!H31+Tabela!F33)</f>
        <v>0</v>
      </c>
      <c r="I29" s="96">
        <f>SUM(G29-H29)</f>
        <v>0</v>
      </c>
      <c r="J29" s="95"/>
      <c r="K29" s="93" t="str">
        <f>IF(B29&gt;=B30,A29,A30)</f>
        <v>Uruguai</v>
      </c>
      <c r="L29" s="93">
        <f>VLOOKUP(K29,$A$29:$I$32,2,FALSE)</f>
        <v>0</v>
      </c>
      <c r="M29" s="93"/>
      <c r="N29" s="93" t="str">
        <f>IF(L29&gt;=L31,K29,K31)</f>
        <v>Uruguai</v>
      </c>
      <c r="O29" s="93">
        <f>VLOOKUP(N29,$A$29:$I$32,2,FALSE)</f>
        <v>0</v>
      </c>
      <c r="P29" s="93"/>
      <c r="Q29" s="93" t="str">
        <f>IF(O29&gt;=O32,N29,N32)</f>
        <v>Uruguai</v>
      </c>
      <c r="R29" s="93">
        <f>VLOOKUP(Q29,$A$29:$I$32,2,FALSE)</f>
        <v>0</v>
      </c>
      <c r="S29" s="93">
        <f>VLOOKUP(Q29,$A$29:$I$32,9,FALSE)</f>
        <v>0</v>
      </c>
      <c r="T29" s="93"/>
      <c r="U29" s="93" t="str">
        <f>IF(AND(R29=R30,S30&gt;S29),Q30,Q29)</f>
        <v>Uruguai</v>
      </c>
      <c r="V29" s="93">
        <f>VLOOKUP(U29,$A$29:$I$32,2,FALSE)</f>
        <v>0</v>
      </c>
      <c r="W29" s="93">
        <f>VLOOKUP(U29,$A$29:$I$32,9,FALSE)</f>
        <v>0</v>
      </c>
      <c r="X29" s="93" t="str">
        <f>IF(AND(V29=V31,W31&gt;W29),U31,U29)</f>
        <v>Uruguai</v>
      </c>
      <c r="Y29" s="93">
        <f>VLOOKUP(X29,$A$29:$I$32,2,FALSE)</f>
        <v>0</v>
      </c>
      <c r="Z29" s="93">
        <f>VLOOKUP(X29,$A$29:$I$32,9,FALSE)</f>
        <v>0</v>
      </c>
      <c r="AA29" s="93"/>
      <c r="AB29" s="93" t="str">
        <f>IF(AND(Y29=Y32,Z32&gt;Z29),X32,X29)</f>
        <v>Uruguai</v>
      </c>
      <c r="AC29" s="93">
        <f>VLOOKUP(AB29,$A$29:$I$32,2,FALSE)</f>
        <v>0</v>
      </c>
      <c r="AD29" s="93">
        <f>VLOOKUP(AB29,$A$29:$I$32,9,FALSE)</f>
        <v>0</v>
      </c>
      <c r="AE29" s="93">
        <f>VLOOKUP(AB29,$A$29:$I$32,7,FALSE)</f>
        <v>0</v>
      </c>
      <c r="AF29" s="93" t="str">
        <f>IF(AND(AC29=AC30,AD29=AD30,AE30&gt;AE29),AB30,AB29)</f>
        <v>Uruguai</v>
      </c>
      <c r="AG29" s="93">
        <f>VLOOKUP(AF29,$A$29:$I$32,2,FALSE)</f>
        <v>0</v>
      </c>
      <c r="AH29" s="93">
        <f>VLOOKUP(AF29,$A$29:$I$32,9,FALSE)</f>
        <v>0</v>
      </c>
      <c r="AI29" s="93">
        <f>VLOOKUP(AF29,$A$29:$I$32,7,FALSE)</f>
        <v>0</v>
      </c>
      <c r="AJ29" s="93" t="str">
        <f>IF(AND(AG29=AG31,AH29=AH31,AI31&gt;AI29),AF31,AF29)</f>
        <v>Uruguai</v>
      </c>
      <c r="AK29" s="93">
        <f>VLOOKUP(AJ29,$A$29:$I$32,2,FALSE)</f>
        <v>0</v>
      </c>
      <c r="AL29" s="93">
        <f>VLOOKUP(AJ29,$A$29:$I$32,9,FALSE)</f>
        <v>0</v>
      </c>
      <c r="AM29" s="93">
        <f>VLOOKUP(AJ29,$A$29:$I$32,7,FALSE)</f>
        <v>0</v>
      </c>
      <c r="AN29" s="93" t="str">
        <f>IF(AND(AK29=AK32,AL29=AL32,AM32&gt;AM29),AJ32,AJ29)</f>
        <v>Uruguai</v>
      </c>
      <c r="AO29" s="93">
        <f>VLOOKUP(AN29,$A$29:$I$32,2,FALSE)</f>
        <v>0</v>
      </c>
      <c r="AP29" s="93">
        <f>VLOOKUP(AN29,$A$29:$I$32,9,FALSE)</f>
        <v>0</v>
      </c>
      <c r="AQ29" s="93">
        <f>VLOOKUP(AN29,$A$29:$I$32,7,FALSE)</f>
        <v>0</v>
      </c>
      <c r="AR29" s="93"/>
    </row>
    <row r="30" spans="1:44" ht="12.75">
      <c r="A30" s="26" t="s">
        <v>97</v>
      </c>
      <c r="B30" s="95">
        <f>SUM(D30*3)+E30</f>
        <v>0</v>
      </c>
      <c r="C30" s="96">
        <f>COUNT(Tabela!H29,Tabela!H32,Tabela!F34)</f>
        <v>0</v>
      </c>
      <c r="D30" s="96">
        <f>SUM(IF(Tabela!$H$29&gt;Tabela!$F$29,COUNT(Tabela!$H$29)),IF(Tabela!$H$32&gt;Tabela!$F$32,COUNT(Tabela!$H$32)),IF(Tabela!$F$34&gt;Tabela!$H$34,COUNT(Tabela!$F$34)))</f>
        <v>0</v>
      </c>
      <c r="E30" s="96">
        <f>SUM(IF(Tabela!$H$29=Tabela!$F$29,COUNT(Tabela!$H$29)),IF(Tabela!$H$32=Tabela!$F$32,COUNT(Tabela!$H$32)),IF(Tabela!$F$34=Tabela!$H$34,COUNT(Tabela!$F$34)))</f>
        <v>0</v>
      </c>
      <c r="F30" s="96">
        <f>SUM(IF(Tabela!$H$29&lt;Tabela!$F$29,COUNT(Tabela!$H$29)),IF(Tabela!$H$32&lt;Tabela!$F$32,COUNT(Tabela!$H$32)),IF(Tabela!$F$34&lt;Tabela!$H$34,COUNT(Tabela!$F$34)))</f>
        <v>0</v>
      </c>
      <c r="G30" s="96">
        <f>SUM(Tabela!H29+Tabela!H32+Tabela!F34)</f>
        <v>0</v>
      </c>
      <c r="H30" s="96">
        <f>SUM(Tabela!F29+Tabela!F32+Tabela!H34)</f>
        <v>0</v>
      </c>
      <c r="I30" s="96">
        <f>SUM(G30-H30)</f>
        <v>0</v>
      </c>
      <c r="J30" s="95"/>
      <c r="K30" s="93" t="str">
        <f>IF(B30&lt;=B29,A30,A29)</f>
        <v>Costa Rica</v>
      </c>
      <c r="L30" s="93">
        <f>VLOOKUP(K30,$A$29:$I$32,2,FALSE)</f>
        <v>0</v>
      </c>
      <c r="M30" s="93"/>
      <c r="N30" s="93" t="str">
        <f>IF(L30&gt;=L32,K30,K32)</f>
        <v>Costa Rica</v>
      </c>
      <c r="O30" s="93">
        <f>VLOOKUP(N30,$A$29:$I$32,2,FALSE)</f>
        <v>0</v>
      </c>
      <c r="P30" s="93"/>
      <c r="Q30" s="93" t="str">
        <f>IF(O30&gt;=O31,N30,N31)</f>
        <v>Costa Rica</v>
      </c>
      <c r="R30" s="93">
        <f>VLOOKUP(Q30,$A$29:$I$32,2,FALSE)</f>
        <v>0</v>
      </c>
      <c r="S30" s="93">
        <f>VLOOKUP(Q30,$A$29:$I$32,9,FALSE)</f>
        <v>0</v>
      </c>
      <c r="T30" s="93"/>
      <c r="U30" s="93" t="str">
        <f>IF(AND(R29=R30,S30&gt;S29),Q29,Q30)</f>
        <v>Costa Rica</v>
      </c>
      <c r="V30" s="93">
        <f>VLOOKUP(U30,$A$29:$I$32,2,FALSE)</f>
        <v>0</v>
      </c>
      <c r="W30" s="93">
        <f>VLOOKUP(U30,$A$29:$I$32,9,FALSE)</f>
        <v>0</v>
      </c>
      <c r="X30" s="93" t="str">
        <f>IF(AND(V30=V32,W32&gt;W30),U32,U30)</f>
        <v>Costa Rica</v>
      </c>
      <c r="Y30" s="93">
        <f>VLOOKUP(X30,$A$29:$I$32,2,FALSE)</f>
        <v>0</v>
      </c>
      <c r="Z30" s="93">
        <f>VLOOKUP(X30,$A$29:$I$32,9,FALSE)</f>
        <v>0</v>
      </c>
      <c r="AA30" s="93"/>
      <c r="AB30" s="93" t="str">
        <f>IF(AND(Y30=Y31,Z31&gt;Z30),X31,X30)</f>
        <v>Costa Rica</v>
      </c>
      <c r="AC30" s="93">
        <f>VLOOKUP(AB30,$A$29:$I$32,2,FALSE)</f>
        <v>0</v>
      </c>
      <c r="AD30" s="93">
        <f>VLOOKUP(AB30,$A$29:$I$32,9,FALSE)</f>
        <v>0</v>
      </c>
      <c r="AE30" s="93">
        <f>VLOOKUP(AB30,$A$29:$I$32,7,FALSE)</f>
        <v>0</v>
      </c>
      <c r="AF30" s="93" t="str">
        <f>IF(AND(AC30=AC29,AD30=AD29,AE30&gt;AE29),AB29,AB30)</f>
        <v>Costa Rica</v>
      </c>
      <c r="AG30" s="93">
        <f>VLOOKUP(AF30,$A$29:$I$32,2,FALSE)</f>
        <v>0</v>
      </c>
      <c r="AH30" s="93">
        <f>VLOOKUP(AF30,$A$29:$I$32,9,FALSE)</f>
        <v>0</v>
      </c>
      <c r="AI30" s="93">
        <f>VLOOKUP(AF30,$A$29:$I$32,7,FALSE)</f>
        <v>0</v>
      </c>
      <c r="AJ30" s="93" t="str">
        <f>IF(AND(AG30=AG32,AH30=AH32,AI32&gt;AI30),AF32,AF30)</f>
        <v>Costa Rica</v>
      </c>
      <c r="AK30" s="93">
        <f>VLOOKUP(AJ30,$A$29:$I$32,2,FALSE)</f>
        <v>0</v>
      </c>
      <c r="AL30" s="93">
        <f>VLOOKUP(AJ30,$A$29:$I$32,9,FALSE)</f>
        <v>0</v>
      </c>
      <c r="AM30" s="93">
        <f>VLOOKUP(AJ30,$A$29:$I$32,7,FALSE)</f>
        <v>0</v>
      </c>
      <c r="AN30" s="93" t="str">
        <f>IF(AND(AK30=AK31,AL30=AL31,AM31&gt;AM30),AJ31,AJ30)</f>
        <v>Costa Rica</v>
      </c>
      <c r="AO30" s="93">
        <f>VLOOKUP(AN30,$A$29:$I$32,2,FALSE)</f>
        <v>0</v>
      </c>
      <c r="AP30" s="93">
        <f>VLOOKUP(AN30,$A$29:$I$32,9,FALSE)</f>
        <v>0</v>
      </c>
      <c r="AQ30" s="93">
        <f>VLOOKUP(AN30,$A$29:$I$32,7,FALSE)</f>
        <v>0</v>
      </c>
      <c r="AR30" s="93"/>
    </row>
    <row r="31" spans="1:44" ht="12.75">
      <c r="A31" s="26" t="s">
        <v>106</v>
      </c>
      <c r="B31" s="95">
        <f>SUM(D31*3)+E31</f>
        <v>0</v>
      </c>
      <c r="C31" s="96">
        <f>COUNT(Tabela!F30,Tabela!H31,Tabela!H34)</f>
        <v>0</v>
      </c>
      <c r="D31" s="96">
        <f>SUM(IF(Tabela!$F$30&gt;Tabela!$H$30,COUNT(Tabela!$F$30)),IF(Tabela!$H$31&gt;Tabela!$F$31,COUNT(Tabela!$H$31)),IF(Tabela!$H$34&gt;Tabela!$F$34,COUNT(Tabela!$H$34)))</f>
        <v>0</v>
      </c>
      <c r="E31" s="96">
        <f>SUM(IF(Tabela!$F$30=Tabela!$H$30,COUNT(Tabela!$F$30)),IF(Tabela!$H$31=Tabela!$F$31,COUNT(Tabela!$H$31)),IF(Tabela!$H$34=Tabela!$F$34,COUNT(Tabela!$H$34)))</f>
        <v>0</v>
      </c>
      <c r="F31" s="96">
        <f>SUM(IF(Tabela!$F$30&lt;Tabela!$H$30,COUNT(Tabela!$F$30)),IF(Tabela!$H$31&lt;Tabela!$F$31,COUNT(Tabela!$H$31)),IF(Tabela!$H$34&lt;Tabela!$F$34,COUNT(Tabela!$H$34)))</f>
        <v>0</v>
      </c>
      <c r="G31" s="96">
        <f>SUM(Tabela!F30+Tabela!H31+Tabela!H34)</f>
        <v>0</v>
      </c>
      <c r="H31" s="96">
        <f>SUM(Tabela!H30+Tabela!F31+Tabela!F34)</f>
        <v>0</v>
      </c>
      <c r="I31" s="96">
        <f>SUM(G31-H31)</f>
        <v>0</v>
      </c>
      <c r="J31" s="95"/>
      <c r="K31" s="93" t="str">
        <f>IF(B31&gt;=B32,A31,A32)</f>
        <v>Inglaterra</v>
      </c>
      <c r="L31" s="93">
        <f>VLOOKUP(K31,$A$29:$I$32,2,FALSE)</f>
        <v>0</v>
      </c>
      <c r="M31" s="93"/>
      <c r="N31" s="93" t="str">
        <f>IF(L31&lt;=L29,K31,K29)</f>
        <v>Inglaterra</v>
      </c>
      <c r="O31" s="93">
        <f>VLOOKUP(N31,$A$29:$I$32,2,FALSE)</f>
        <v>0</v>
      </c>
      <c r="P31" s="93"/>
      <c r="Q31" s="93" t="str">
        <f>IF(O31&lt;=O30,N31,N30)</f>
        <v>Inglaterra</v>
      </c>
      <c r="R31" s="93">
        <f>VLOOKUP(Q31,$A$29:$I$32,2,FALSE)</f>
        <v>0</v>
      </c>
      <c r="S31" s="93">
        <f>VLOOKUP(Q31,$A$29:$I$32,9,FALSE)</f>
        <v>0</v>
      </c>
      <c r="T31" s="93"/>
      <c r="U31" s="93" t="str">
        <f>IF(AND(R31=R32,S32&gt;S31),Q32,Q31)</f>
        <v>Inglaterra</v>
      </c>
      <c r="V31" s="93">
        <f>VLOOKUP(U31,$A$29:$I$32,2,FALSE)</f>
        <v>0</v>
      </c>
      <c r="W31" s="93">
        <f>VLOOKUP(U31,$A$29:$I$32,9,FALSE)</f>
        <v>0</v>
      </c>
      <c r="X31" s="93" t="str">
        <f>IF(AND(V29=V31,W31&gt;W29),U29,U31)</f>
        <v>Inglaterra</v>
      </c>
      <c r="Y31" s="93">
        <f>VLOOKUP(X31,$A$29:$I$32,2,FALSE)</f>
        <v>0</v>
      </c>
      <c r="Z31" s="93">
        <f>VLOOKUP(X31,$A$29:$I$32,9,FALSE)</f>
        <v>0</v>
      </c>
      <c r="AA31" s="93"/>
      <c r="AB31" s="93" t="str">
        <f>IF(AND(Y31=Y30,Z31&gt;Z30),X30,X31)</f>
        <v>Inglaterra</v>
      </c>
      <c r="AC31" s="93">
        <f>VLOOKUP(AB31,$A$29:$I$32,2,FALSE)</f>
        <v>0</v>
      </c>
      <c r="AD31" s="93">
        <f>VLOOKUP(AB31,$A$29:$I$32,9,FALSE)</f>
        <v>0</v>
      </c>
      <c r="AE31" s="93">
        <f>VLOOKUP(AB31,$A$29:$I$32,7,FALSE)</f>
        <v>0</v>
      </c>
      <c r="AF31" s="93" t="str">
        <f>IF(AND(AC31=AC32,AD31=AD32,AE32&gt;AE31),AB32,AB31)</f>
        <v>Inglaterra</v>
      </c>
      <c r="AG31" s="93">
        <f>VLOOKUP(AF31,$A$29:$I$32,2,FALSE)</f>
        <v>0</v>
      </c>
      <c r="AH31" s="93">
        <f>VLOOKUP(AF31,$A$29:$I$32,9,FALSE)</f>
        <v>0</v>
      </c>
      <c r="AI31" s="93">
        <f>VLOOKUP(AF31,$A$29:$I$32,7,FALSE)</f>
        <v>0</v>
      </c>
      <c r="AJ31" s="93" t="str">
        <f>IF(AND(AG31=AG29,AH31=AH29,AI31&gt;AI29),AF29,AF31)</f>
        <v>Inglaterra</v>
      </c>
      <c r="AK31" s="93">
        <f>VLOOKUP(AJ31,$A$29:$I$32,2,FALSE)</f>
        <v>0</v>
      </c>
      <c r="AL31" s="93">
        <f>VLOOKUP(AJ31,$A$29:$I$32,9,FALSE)</f>
        <v>0</v>
      </c>
      <c r="AM31" s="93">
        <f>VLOOKUP(AJ31,$A$29:$I$32,7,FALSE)</f>
        <v>0</v>
      </c>
      <c r="AN31" s="93" t="str">
        <f>IF(AND(AK31=AK30,AL31=AL30,AM31&gt;AM30),AJ30,AJ31)</f>
        <v>Inglaterra</v>
      </c>
      <c r="AO31" s="93">
        <f>VLOOKUP(AN31,$A$29:$I$32,2,FALSE)</f>
        <v>0</v>
      </c>
      <c r="AP31" s="93">
        <f>VLOOKUP(AN31,$A$29:$I$32,9,FALSE)</f>
        <v>0</v>
      </c>
      <c r="AQ31" s="93">
        <f>VLOOKUP(AN31,$A$29:$I$32,7,FALSE)</f>
        <v>0</v>
      </c>
      <c r="AR31" s="93"/>
    </row>
    <row r="32" spans="1:44" ht="12.75">
      <c r="A32" s="26" t="s">
        <v>89</v>
      </c>
      <c r="B32" s="95">
        <f>SUM(D32*3)+E32</f>
        <v>0</v>
      </c>
      <c r="C32" s="96">
        <f>COUNT(Tabela!H30,Tabela!F32,Tabela!F33)</f>
        <v>0</v>
      </c>
      <c r="D32" s="96">
        <f>SUM(IF(Tabela!$H$30&gt;Tabela!$F$30,COUNT(Tabela!$H$30)),IF(Tabela!$F$32&gt;Tabela!$H$32,COUNT(Tabela!$F$32)),IF(Tabela!$F$33&gt;Tabela!$H$33,COUNT(Tabela!$F$33)))</f>
        <v>0</v>
      </c>
      <c r="E32" s="96">
        <f>SUM(IF(Tabela!$H$30=Tabela!$F$30,COUNT(Tabela!$H$30)),IF(Tabela!$F$32=Tabela!$H$32,COUNT(Tabela!$F$32)),IF(Tabela!$F$33=Tabela!$H$33,COUNT(Tabela!$F$33)))</f>
        <v>0</v>
      </c>
      <c r="F32" s="96">
        <f>SUM(IF(Tabela!$H$30&lt;Tabela!$F$30,COUNT(Tabela!$H$30)),IF(Tabela!$F$32&lt;Tabela!$H$32,COUNT(Tabela!$F$32)),IF(Tabela!$F$33&lt;Tabela!$H$33,COUNT(Tabela!$F$33)))</f>
        <v>0</v>
      </c>
      <c r="G32" s="96">
        <f>SUM(Tabela!H30+Tabela!F32+Tabela!F33)</f>
        <v>0</v>
      </c>
      <c r="H32" s="96">
        <f>SUM(Tabela!F30+Tabela!H32+Tabela!H33)</f>
        <v>0</v>
      </c>
      <c r="I32" s="96">
        <f>SUM(G32-H32)</f>
        <v>0</v>
      </c>
      <c r="J32" s="95"/>
      <c r="K32" s="93" t="str">
        <f>IF(B32&lt;=B31,A32,A31)</f>
        <v>Itália</v>
      </c>
      <c r="L32" s="93">
        <f>VLOOKUP(K32,$A$29:$I$32,2,FALSE)</f>
        <v>0</v>
      </c>
      <c r="M32" s="93"/>
      <c r="N32" s="93" t="str">
        <f>IF(L32&lt;=L30,K32,K30)</f>
        <v>Itália</v>
      </c>
      <c r="O32" s="93">
        <f>VLOOKUP(N32,$A$29:$I$32,2,FALSE)</f>
        <v>0</v>
      </c>
      <c r="P32" s="93"/>
      <c r="Q32" s="93" t="str">
        <f>IF(O32&lt;=O29,N32,N29)</f>
        <v>Itália</v>
      </c>
      <c r="R32" s="93">
        <f>VLOOKUP(Q32,$A$29:$I$32,2,FALSE)</f>
        <v>0</v>
      </c>
      <c r="S32" s="93">
        <f>VLOOKUP(Q32,$A$29:$I$32,9,FALSE)</f>
        <v>0</v>
      </c>
      <c r="T32" s="93"/>
      <c r="U32" s="93" t="str">
        <f>IF(AND(R31=R32,S32&gt;S31),Q31,Q32)</f>
        <v>Itália</v>
      </c>
      <c r="V32" s="93">
        <f>VLOOKUP(U32,$A$29:$I$32,2,FALSE)</f>
        <v>0</v>
      </c>
      <c r="W32" s="93">
        <f>VLOOKUP(U32,$A$29:$I$32,9,FALSE)</f>
        <v>0</v>
      </c>
      <c r="X32" s="93" t="str">
        <f>IF(AND(V30=V32,W32&gt;W30),U30,U32)</f>
        <v>Itália</v>
      </c>
      <c r="Y32" s="93">
        <f>VLOOKUP(X32,$A$29:$I$32,2,FALSE)</f>
        <v>0</v>
      </c>
      <c r="Z32" s="93">
        <f>VLOOKUP(X32,$A$29:$I$32,9,FALSE)</f>
        <v>0</v>
      </c>
      <c r="AA32" s="93"/>
      <c r="AB32" s="93" t="str">
        <f>IF(AND(Y32=Y29,Z32&gt;Z29),X29,X32)</f>
        <v>Itália</v>
      </c>
      <c r="AC32" s="93">
        <f>VLOOKUP(AB32,$A$29:$I$32,2,FALSE)</f>
        <v>0</v>
      </c>
      <c r="AD32" s="93">
        <f>VLOOKUP(AB32,$A$29:$I$32,9,FALSE)</f>
        <v>0</v>
      </c>
      <c r="AE32" s="93">
        <f>VLOOKUP(AB32,$A$29:$I$32,7,FALSE)</f>
        <v>0</v>
      </c>
      <c r="AF32" s="93" t="str">
        <f>IF(AND(AC32=AC31,AD32=AD31,AE32&gt;AE31),X31,X32)</f>
        <v>Itália</v>
      </c>
      <c r="AG32" s="93">
        <f>VLOOKUP(AF32,$A$29:$I$32,2,FALSE)</f>
        <v>0</v>
      </c>
      <c r="AH32" s="93">
        <f>VLOOKUP(AF32,$A$29:$I$32,9,FALSE)</f>
        <v>0</v>
      </c>
      <c r="AI32" s="93">
        <f>VLOOKUP(AF32,$A$29:$I$32,7,FALSE)</f>
        <v>0</v>
      </c>
      <c r="AJ32" s="93" t="str">
        <f>IF(AND(AG30=AG32,AH30=AH32,AI32&gt;AI30),AF30,AF32)</f>
        <v>Itália</v>
      </c>
      <c r="AK32" s="93">
        <f>VLOOKUP(AJ32,$A$29:$I$32,2,FALSE)</f>
        <v>0</v>
      </c>
      <c r="AL32" s="93">
        <f>VLOOKUP(AJ32,$A$29:$I$32,9,FALSE)</f>
        <v>0</v>
      </c>
      <c r="AM32" s="93">
        <f>VLOOKUP(AJ32,$A$29:$I$32,7,FALSE)</f>
        <v>0</v>
      </c>
      <c r="AN32" s="93" t="str">
        <f>IF(AND(AK32=AK29,AL32=AL29,AM32&gt;AM29),AJ29,AJ32)</f>
        <v>Itália</v>
      </c>
      <c r="AO32" s="93">
        <f>VLOOKUP(AN32,$A$29:$I$32,2,FALSE)</f>
        <v>0</v>
      </c>
      <c r="AP32" s="93">
        <f>VLOOKUP(AN32,$A$29:$I$32,9,FALSE)</f>
        <v>0</v>
      </c>
      <c r="AQ32" s="93">
        <f>VLOOKUP(AN32,$A$29:$I$32,7,FALSE)</f>
        <v>0</v>
      </c>
      <c r="AR32" s="93"/>
    </row>
    <row r="33" spans="1:44" ht="12.75">
      <c r="A33" s="26"/>
      <c r="B33" s="6"/>
      <c r="C33" s="6"/>
      <c r="D33" s="6"/>
      <c r="E33" s="6"/>
      <c r="F33" s="6"/>
      <c r="G33" s="6"/>
      <c r="H33" s="6"/>
      <c r="I33" s="6"/>
      <c r="J33" s="6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</row>
    <row r="34" spans="1:44" ht="12.75">
      <c r="A34" s="26"/>
      <c r="B34" s="6"/>
      <c r="C34" s="6"/>
      <c r="D34" s="6"/>
      <c r="E34" s="6"/>
      <c r="F34" s="6"/>
      <c r="G34" s="6"/>
      <c r="H34" s="6"/>
      <c r="I34" s="6"/>
      <c r="J34" s="6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</row>
    <row r="35" spans="1:44" ht="12.75">
      <c r="A35" s="26"/>
      <c r="B35" s="160" t="s">
        <v>11</v>
      </c>
      <c r="C35" s="160"/>
      <c r="D35" s="160"/>
      <c r="E35" s="160"/>
      <c r="F35" s="160"/>
      <c r="G35" s="160"/>
      <c r="H35" s="160"/>
      <c r="I35" s="160"/>
      <c r="J35" s="6"/>
      <c r="K35" s="93" t="s">
        <v>16</v>
      </c>
      <c r="L35" s="93"/>
      <c r="M35" s="93"/>
      <c r="N35" s="93" t="s">
        <v>18</v>
      </c>
      <c r="O35" s="93"/>
      <c r="P35" s="93"/>
      <c r="Q35" s="93" t="s">
        <v>17</v>
      </c>
      <c r="R35" s="93"/>
      <c r="S35" s="93"/>
      <c r="T35" s="93"/>
      <c r="U35" s="93" t="s">
        <v>17</v>
      </c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</row>
    <row r="36" spans="1:44" ht="12.75">
      <c r="A36" s="58" t="s">
        <v>15</v>
      </c>
      <c r="B36" s="95" t="s">
        <v>14</v>
      </c>
      <c r="C36" s="96" t="s">
        <v>1</v>
      </c>
      <c r="D36" s="96" t="s">
        <v>2</v>
      </c>
      <c r="E36" s="96" t="s">
        <v>4</v>
      </c>
      <c r="F36" s="96" t="s">
        <v>3</v>
      </c>
      <c r="G36" s="96" t="s">
        <v>5</v>
      </c>
      <c r="H36" s="96" t="s">
        <v>6</v>
      </c>
      <c r="I36" s="96" t="s">
        <v>7</v>
      </c>
      <c r="J36" s="97"/>
      <c r="K36" s="93"/>
      <c r="L36" s="93" t="s">
        <v>14</v>
      </c>
      <c r="M36" s="93"/>
      <c r="N36" s="93"/>
      <c r="O36" s="93" t="s">
        <v>19</v>
      </c>
      <c r="P36" s="93"/>
      <c r="Q36" s="93"/>
      <c r="R36" s="93" t="s">
        <v>14</v>
      </c>
      <c r="S36" s="93" t="s">
        <v>7</v>
      </c>
      <c r="T36" s="93"/>
      <c r="U36" s="93"/>
      <c r="V36" s="93" t="s">
        <v>14</v>
      </c>
      <c r="W36" s="93" t="s">
        <v>7</v>
      </c>
      <c r="X36" s="93"/>
      <c r="Y36" s="93" t="s">
        <v>14</v>
      </c>
      <c r="Z36" s="93" t="s">
        <v>7</v>
      </c>
      <c r="AA36" s="93"/>
      <c r="AB36" s="93"/>
      <c r="AC36" s="93" t="s">
        <v>14</v>
      </c>
      <c r="AD36" s="93" t="s">
        <v>7</v>
      </c>
      <c r="AE36" s="93" t="s">
        <v>5</v>
      </c>
      <c r="AF36" s="93"/>
      <c r="AG36" s="93" t="s">
        <v>14</v>
      </c>
      <c r="AH36" s="93" t="s">
        <v>7</v>
      </c>
      <c r="AI36" s="93" t="s">
        <v>5</v>
      </c>
      <c r="AJ36" s="93"/>
      <c r="AK36" s="93" t="s">
        <v>14</v>
      </c>
      <c r="AL36" s="93" t="s">
        <v>7</v>
      </c>
      <c r="AM36" s="93" t="s">
        <v>5</v>
      </c>
      <c r="AN36" s="93"/>
      <c r="AO36" s="93" t="s">
        <v>14</v>
      </c>
      <c r="AP36" s="93" t="s">
        <v>7</v>
      </c>
      <c r="AQ36" s="93" t="s">
        <v>5</v>
      </c>
      <c r="AR36" s="93"/>
    </row>
    <row r="37" spans="1:44" ht="12.75">
      <c r="A37" s="26" t="s">
        <v>83</v>
      </c>
      <c r="B37" s="95">
        <f>SUM(D37*3)+E37</f>
        <v>0</v>
      </c>
      <c r="C37" s="96">
        <f>COUNT(Tabela!F37,Tabela!F39,Tabela!H41)</f>
        <v>0</v>
      </c>
      <c r="D37" s="96">
        <f>SUM(IF(Tabela!$F$37&gt;Tabela!$H$37,COUNT(Tabela!$F$37)),IF(Tabela!$F$39&gt;Tabela!$H$39,COUNT(Tabela!$F$39)),IF(Tabela!$H$41&gt;Tabela!$F$41,COUNT(Tabela!$H$41)))</f>
        <v>0</v>
      </c>
      <c r="E37" s="96">
        <f>SUM(IF(Tabela!$F$37=Tabela!$H$37,COUNT(Tabela!$F$37)),IF(Tabela!$F$39=Tabela!$H$39,COUNT(Tabela!$F$39)),IF(Tabela!$H$41=Tabela!$F$41,COUNT(Tabela!$H$41)))</f>
        <v>0</v>
      </c>
      <c r="F37" s="96">
        <f>SUM(IF(Tabela!$F$37&lt;Tabela!$H$37,COUNT(Tabela!$F$37)),IF(Tabela!$F$39&lt;Tabela!$H$39,COUNT(Tabela!$F$39)),IF(Tabela!$H$41&lt;Tabela!$F$41,COUNT(Tabela!$H$41)))</f>
        <v>0</v>
      </c>
      <c r="G37" s="96">
        <f>SUM(Tabela!F37+Tabela!F39+Tabela!H41)</f>
        <v>0</v>
      </c>
      <c r="H37" s="96">
        <f>SUM(Tabela!H37+Tabela!H39+Tabela!F41)</f>
        <v>0</v>
      </c>
      <c r="I37" s="96">
        <f>SUM(G37-H37)</f>
        <v>0</v>
      </c>
      <c r="J37" s="95"/>
      <c r="K37" s="93" t="str">
        <f>IF(B37&gt;=B38,A37,A38)</f>
        <v>Suiça</v>
      </c>
      <c r="L37" s="93">
        <f>VLOOKUP(K37,$A$37:$I$40,2,FALSE)</f>
        <v>0</v>
      </c>
      <c r="M37" s="93"/>
      <c r="N37" s="93" t="str">
        <f>IF(L37&gt;=L39,K37,K39)</f>
        <v>Suiça</v>
      </c>
      <c r="O37" s="93">
        <f>VLOOKUP(N37,$A$37:$I$40,2,FALSE)</f>
        <v>0</v>
      </c>
      <c r="P37" s="93"/>
      <c r="Q37" s="93" t="str">
        <f>IF(O37&gt;=O40,N37,N40)</f>
        <v>Suiça</v>
      </c>
      <c r="R37" s="93">
        <f>VLOOKUP(Q37,$A$37:$I$40,2,FALSE)</f>
        <v>0</v>
      </c>
      <c r="S37" s="93">
        <f>VLOOKUP(Q37,$A$37:$I$40,9,FALSE)</f>
        <v>0</v>
      </c>
      <c r="T37" s="93"/>
      <c r="U37" s="93" t="str">
        <f>IF(AND(R37=R38,S38&gt;S37),Q38,Q37)</f>
        <v>Suiça</v>
      </c>
      <c r="V37" s="93">
        <f>VLOOKUP(U37,$A$37:$I$40,2,FALSE)</f>
        <v>0</v>
      </c>
      <c r="W37" s="93">
        <f>VLOOKUP(U37,$A$37:$I$40,9,FALSE)</f>
        <v>0</v>
      </c>
      <c r="X37" s="93" t="str">
        <f>IF(AND(V37=V39,W39&gt;W37),U39,U37)</f>
        <v>Suiça</v>
      </c>
      <c r="Y37" s="93">
        <f>VLOOKUP(X37,$A$37:$I$40,2,FALSE)</f>
        <v>0</v>
      </c>
      <c r="Z37" s="93">
        <f>VLOOKUP(X37,$A$37:$I$40,9,FALSE)</f>
        <v>0</v>
      </c>
      <c r="AA37" s="93"/>
      <c r="AB37" s="93" t="str">
        <f>IF(AND(Y37=Y40,Z40&gt;Z37),X40,X37)</f>
        <v>Suiça</v>
      </c>
      <c r="AC37" s="93">
        <f>VLOOKUP(AB37,$A$37:$I$40,2,FALSE)</f>
        <v>0</v>
      </c>
      <c r="AD37" s="93">
        <f>VLOOKUP(AB37,$A$37:$I$40,9,FALSE)</f>
        <v>0</v>
      </c>
      <c r="AE37" s="93">
        <f>VLOOKUP(AB37,$A$37:$I$40,7,FALSE)</f>
        <v>0</v>
      </c>
      <c r="AF37" s="93" t="str">
        <f>IF(AND(AC37=AC38,AD37=AD38,AE38&gt;AE37),AB38,AB37)</f>
        <v>Suiça</v>
      </c>
      <c r="AG37" s="93">
        <f>VLOOKUP(AF37,$A$37:$I$40,2,FALSE)</f>
        <v>0</v>
      </c>
      <c r="AH37" s="93">
        <f>VLOOKUP(AF37,$A$37:$I$40,9,FALSE)</f>
        <v>0</v>
      </c>
      <c r="AI37" s="93">
        <f>VLOOKUP(AF37,$A$37:$I$40,7,FALSE)</f>
        <v>0</v>
      </c>
      <c r="AJ37" s="93" t="str">
        <f>IF(AND(AG37=AG39,AH37=AH39,AI39&gt;AI37),AF39,AF37)</f>
        <v>Suiça</v>
      </c>
      <c r="AK37" s="93">
        <f>VLOOKUP(AJ37,$A$37:$I$40,2,FALSE)</f>
        <v>0</v>
      </c>
      <c r="AL37" s="93">
        <f>VLOOKUP(AJ37,$A$37:$I$40,9,FALSE)</f>
        <v>0</v>
      </c>
      <c r="AM37" s="93">
        <f>VLOOKUP(AJ37,$A$37:$I$40,7,FALSE)</f>
        <v>0</v>
      </c>
      <c r="AN37" s="93" t="str">
        <f>IF(AND(AK37=AK40,AL37=AL40,AM40&gt;AM37),AJ40,AJ37)</f>
        <v>Suiça</v>
      </c>
      <c r="AO37" s="93">
        <f>VLOOKUP(AN37,$A$37:$I$40,2,FALSE)</f>
        <v>0</v>
      </c>
      <c r="AP37" s="93">
        <f>VLOOKUP(AN37,$A$37:$I$40,9,FALSE)</f>
        <v>0</v>
      </c>
      <c r="AQ37" s="93">
        <f>VLOOKUP(AN37,$A$37:$I$40,7,FALSE)</f>
        <v>0</v>
      </c>
      <c r="AR37" s="93"/>
    </row>
    <row r="38" spans="1:44" ht="12.75">
      <c r="A38" s="26" t="s">
        <v>90</v>
      </c>
      <c r="B38" s="95">
        <f>SUM(D38*3)+E38</f>
        <v>0</v>
      </c>
      <c r="C38" s="96">
        <f>COUNT(Tabela!H37,Tabela!H40,Tabela!F42)</f>
        <v>0</v>
      </c>
      <c r="D38" s="96">
        <f>SUM(IF(Tabela!$H$37&gt;Tabela!$F$37,COUNT(Tabela!$H$37)),IF(Tabela!$H$40&gt;Tabela!$F$40,COUNT(Tabela!$H$40)),IF(Tabela!$F$42&gt;Tabela!$H$42,COUNT(Tabela!$F$42)))</f>
        <v>0</v>
      </c>
      <c r="E38" s="96">
        <f>SUM(IF(Tabela!$H$37=Tabela!$F$37,COUNT(Tabela!$H$37)),IF(Tabela!$H$40=Tabela!$F$40,COUNT(Tabela!$H$40)),IF(Tabela!$F$42=Tabela!$H$42,COUNT(Tabela!$F$42)))</f>
        <v>0</v>
      </c>
      <c r="F38" s="96">
        <f>SUM(IF(Tabela!$H$37&lt;Tabela!$F$37,COUNT(Tabela!$H$37)),IF(Tabela!$H$40&lt;Tabela!$F$40,COUNT(Tabela!$H$40)),IF(Tabela!$F$42&lt;Tabela!$H$42,COUNT(Tabela!$F$42)))</f>
        <v>0</v>
      </c>
      <c r="G38" s="96">
        <f>SUM(Tabela!H37+Tabela!H40+Tabela!F42)</f>
        <v>0</v>
      </c>
      <c r="H38" s="96">
        <f>SUM(Tabela!F37+Tabela!F40+Tabela!H42)</f>
        <v>0</v>
      </c>
      <c r="I38" s="96">
        <f>SUM(G38-H38)</f>
        <v>0</v>
      </c>
      <c r="J38" s="95"/>
      <c r="K38" s="93" t="str">
        <f>IF(B38&lt;=B37,A38,A37)</f>
        <v>Equador</v>
      </c>
      <c r="L38" s="93">
        <f>VLOOKUP(K38,$A$37:$I$40,2,FALSE)</f>
        <v>0</v>
      </c>
      <c r="M38" s="93"/>
      <c r="N38" s="93" t="str">
        <f>IF(L38&gt;=L40,K38,K40)</f>
        <v>Equador</v>
      </c>
      <c r="O38" s="93">
        <f>VLOOKUP(N38,$A$37:$I$40,2,FALSE)</f>
        <v>0</v>
      </c>
      <c r="P38" s="93"/>
      <c r="Q38" s="93" t="str">
        <f>IF(O38&gt;=O39,N38,N39)</f>
        <v>Equador</v>
      </c>
      <c r="R38" s="93">
        <f>VLOOKUP(Q38,$A$37:$I$40,2,FALSE)</f>
        <v>0</v>
      </c>
      <c r="S38" s="93">
        <f>VLOOKUP(Q38,$A$37:$I$40,9,FALSE)</f>
        <v>0</v>
      </c>
      <c r="T38" s="93"/>
      <c r="U38" s="93" t="str">
        <f>IF(AND(R37=R38,S38&gt;S37),Q37,Q38)</f>
        <v>Equador</v>
      </c>
      <c r="V38" s="93">
        <f>VLOOKUP(U38,$A$37:$I$40,2,FALSE)</f>
        <v>0</v>
      </c>
      <c r="W38" s="93">
        <f>VLOOKUP(U38,$A$37:$I$40,9,FALSE)</f>
        <v>0</v>
      </c>
      <c r="X38" s="93" t="str">
        <f>IF(AND(V38=V40,W40&gt;W38),U40,U38)</f>
        <v>Equador</v>
      </c>
      <c r="Y38" s="93">
        <f>VLOOKUP(X38,$A$37:$I$40,2,FALSE)</f>
        <v>0</v>
      </c>
      <c r="Z38" s="93">
        <f>VLOOKUP(X38,$A$37:$I$40,9,FALSE)</f>
        <v>0</v>
      </c>
      <c r="AA38" s="93"/>
      <c r="AB38" s="93" t="str">
        <f>IF(AND(Y38=Y39,Z39&gt;Z38),X39,X38)</f>
        <v>Equador</v>
      </c>
      <c r="AC38" s="93">
        <f>VLOOKUP(AB38,$A$37:$I$40,2,FALSE)</f>
        <v>0</v>
      </c>
      <c r="AD38" s="93">
        <f>VLOOKUP(AB38,$A$37:$I$40,9,FALSE)</f>
        <v>0</v>
      </c>
      <c r="AE38" s="93">
        <f>VLOOKUP(AB38,$A$37:$I$40,7,FALSE)</f>
        <v>0</v>
      </c>
      <c r="AF38" s="93" t="str">
        <f>IF(AND(AC38=AC37,AD38=AD37,AE38&gt;AE37),AB37,AB38)</f>
        <v>Equador</v>
      </c>
      <c r="AG38" s="93">
        <f>VLOOKUP(AF38,$A$37:$I$40,2,FALSE)</f>
        <v>0</v>
      </c>
      <c r="AH38" s="93">
        <f>VLOOKUP(AF38,$A$37:$I$40,9,FALSE)</f>
        <v>0</v>
      </c>
      <c r="AI38" s="93">
        <f>VLOOKUP(AF38,$A$37:$I$40,7,FALSE)</f>
        <v>0</v>
      </c>
      <c r="AJ38" s="93" t="str">
        <f>IF(AND(AG38=AG40,AH38=AH40,AI40&gt;AI38),AF40,AF38)</f>
        <v>Equador</v>
      </c>
      <c r="AK38" s="93">
        <f>VLOOKUP(AJ38,$A$37:$I$40,2,FALSE)</f>
        <v>0</v>
      </c>
      <c r="AL38" s="93">
        <f>VLOOKUP(AJ38,$A$37:$I$40,9,FALSE)</f>
        <v>0</v>
      </c>
      <c r="AM38" s="93">
        <f>VLOOKUP(AJ38,$A$37:$I$40,7,FALSE)</f>
        <v>0</v>
      </c>
      <c r="AN38" s="93" t="str">
        <f>IF(AND(AK38=AK39,AL38=AL39,AM39&gt;AM38),AJ39,AJ38)</f>
        <v>Equador</v>
      </c>
      <c r="AO38" s="93">
        <f>VLOOKUP(AN38,$A$37:$I$40,2,FALSE)</f>
        <v>0</v>
      </c>
      <c r="AP38" s="93">
        <f>VLOOKUP(AN38,$A$37:$I$40,9,FALSE)</f>
        <v>0</v>
      </c>
      <c r="AQ38" s="93">
        <f>VLOOKUP(AN38,$A$37:$I$40,7,FALSE)</f>
        <v>0</v>
      </c>
      <c r="AR38" s="93"/>
    </row>
    <row r="39" spans="1:44" ht="12.75">
      <c r="A39" s="26" t="s">
        <v>107</v>
      </c>
      <c r="B39" s="95">
        <f>SUM(D39*3)+E39</f>
        <v>0</v>
      </c>
      <c r="C39" s="96">
        <f>COUNT(Tabela!F38,Tabela!H39,Tabela!H42)</f>
        <v>0</v>
      </c>
      <c r="D39" s="96">
        <f>SUM(IF(Tabela!$F$38&gt;Tabela!$H$38,COUNT(Tabela!$F$38)),IF(Tabela!$H$39&gt;Tabela!$F$39,COUNT(Tabela!$H$39)),IF(Tabela!$H$42&gt;Tabela!$F$42,COUNT(Tabela!$H$42)))</f>
        <v>0</v>
      </c>
      <c r="E39" s="96">
        <f>SUM(IF(Tabela!$F$38=Tabela!$H$38,COUNT(Tabela!$F$38)),IF(Tabela!$H$39=Tabela!$F$39,COUNT(Tabela!$H$39)),IF(Tabela!$H$42=Tabela!$F$42,COUNT(Tabela!$H$42)))</f>
        <v>0</v>
      </c>
      <c r="F39" s="96">
        <f>SUM(IF(Tabela!$F$38&lt;Tabela!$H$38,COUNT(Tabela!$F$38)),IF(Tabela!$H$39&lt;Tabela!$F$39,COUNT(Tabela!$H$39)),IF(Tabela!$H$42&lt;Tabela!$F$42,COUNT(Tabela!$H$42)))</f>
        <v>0</v>
      </c>
      <c r="G39" s="96">
        <f>SUM(Tabela!F38+Tabela!H39+Tabela!H42)</f>
        <v>0</v>
      </c>
      <c r="H39" s="96">
        <f>SUM(Tabela!H38+Tabela!F39+Tabela!F42)</f>
        <v>0</v>
      </c>
      <c r="I39" s="96">
        <f>SUM(G39-H39)</f>
        <v>0</v>
      </c>
      <c r="J39" s="95"/>
      <c r="K39" s="93" t="str">
        <f>IF(B39&gt;=B40,A39,A40)</f>
        <v>França</v>
      </c>
      <c r="L39" s="93">
        <f>VLOOKUP(K39,$A$37:$I$40,2,FALSE)</f>
        <v>0</v>
      </c>
      <c r="M39" s="93"/>
      <c r="N39" s="93" t="str">
        <f>IF(L39&lt;=L37,K39,K37)</f>
        <v>França</v>
      </c>
      <c r="O39" s="93">
        <f>VLOOKUP(N39,$A$37:$I$40,2,FALSE)</f>
        <v>0</v>
      </c>
      <c r="P39" s="93"/>
      <c r="Q39" s="93" t="str">
        <f>IF(O39&lt;=O38,N39,N38)</f>
        <v>França</v>
      </c>
      <c r="R39" s="93">
        <f>VLOOKUP(Q39,$A$37:$I$40,2,FALSE)</f>
        <v>0</v>
      </c>
      <c r="S39" s="93">
        <f>VLOOKUP(Q39,$A$37:$I$40,9,FALSE)</f>
        <v>0</v>
      </c>
      <c r="T39" s="93"/>
      <c r="U39" s="93" t="str">
        <f>IF(AND(R39=R40,S40&gt;S39),Q40,Q39)</f>
        <v>França</v>
      </c>
      <c r="V39" s="93">
        <f>VLOOKUP(U39,$A$37:$I$40,2,FALSE)</f>
        <v>0</v>
      </c>
      <c r="W39" s="93">
        <f>VLOOKUP(U39,$A$37:$I$40,9,FALSE)</f>
        <v>0</v>
      </c>
      <c r="X39" s="93" t="str">
        <f>IF(AND(V37=V39,W39&gt;W37),U37,U39)</f>
        <v>França</v>
      </c>
      <c r="Y39" s="93">
        <f>VLOOKUP(X39,$A$37:$I$40,2,FALSE)</f>
        <v>0</v>
      </c>
      <c r="Z39" s="93">
        <f>VLOOKUP(X39,$A$37:$I$40,9,FALSE)</f>
        <v>0</v>
      </c>
      <c r="AA39" s="93"/>
      <c r="AB39" s="93" t="str">
        <f>IF(AND(Y39=Y38,Z39&gt;Z38),X38,X39)</f>
        <v>França</v>
      </c>
      <c r="AC39" s="93">
        <f>VLOOKUP(AB39,$A$37:$I$40,2,FALSE)</f>
        <v>0</v>
      </c>
      <c r="AD39" s="93">
        <f>VLOOKUP(AB39,$A$37:$I$40,9,FALSE)</f>
        <v>0</v>
      </c>
      <c r="AE39" s="93">
        <f>VLOOKUP(AB39,$A$37:$I$40,7,FALSE)</f>
        <v>0</v>
      </c>
      <c r="AF39" s="93" t="str">
        <f>IF(AND(AC39=AC40,AD39=AD40,AE40&gt;AE39),AB40,AB39)</f>
        <v>França</v>
      </c>
      <c r="AG39" s="93">
        <f>VLOOKUP(AF39,$A$37:$I$40,2,FALSE)</f>
        <v>0</v>
      </c>
      <c r="AH39" s="93">
        <f>VLOOKUP(AF39,$A$37:$I$40,9,FALSE)</f>
        <v>0</v>
      </c>
      <c r="AI39" s="93">
        <f>VLOOKUP(AF39,$A$37:$I$40,7,FALSE)</f>
        <v>0</v>
      </c>
      <c r="AJ39" s="93" t="str">
        <f>IF(AND(AG39=AG37,AH39=AH37,AI39&gt;AI37),AF37,AF39)</f>
        <v>França</v>
      </c>
      <c r="AK39" s="93">
        <f>VLOOKUP(AJ39,$A$37:$I$40,2,FALSE)</f>
        <v>0</v>
      </c>
      <c r="AL39" s="93">
        <f>VLOOKUP(AJ39,$A$37:$I$40,9,FALSE)</f>
        <v>0</v>
      </c>
      <c r="AM39" s="93">
        <f>VLOOKUP(AJ39,$A$37:$I$40,7,FALSE)</f>
        <v>0</v>
      </c>
      <c r="AN39" s="93" t="str">
        <f>IF(AND(AK39=AK38,AL39=AL38,AM39&gt;AM38),AJ38,AJ39)</f>
        <v>França</v>
      </c>
      <c r="AO39" s="93">
        <f>VLOOKUP(AN39,$A$37:$I$40,2,FALSE)</f>
        <v>0</v>
      </c>
      <c r="AP39" s="93">
        <f>VLOOKUP(AN39,$A$37:$I$40,9,FALSE)</f>
        <v>0</v>
      </c>
      <c r="AQ39" s="93">
        <f>VLOOKUP(AN39,$A$37:$I$40,7,FALSE)</f>
        <v>0</v>
      </c>
      <c r="AR39" s="93"/>
    </row>
    <row r="40" spans="1:44" ht="12.75">
      <c r="A40" s="26" t="s">
        <v>98</v>
      </c>
      <c r="B40" s="95">
        <f>SUM(D40*3)+E40</f>
        <v>0</v>
      </c>
      <c r="C40" s="96">
        <f>COUNT(Tabela!H38,Tabela!F40,Tabela!F41)</f>
        <v>0</v>
      </c>
      <c r="D40" s="96">
        <f>SUM(IF(Tabela!$H$38&gt;Tabela!$F$38,COUNT(Tabela!$H$38)),IF(Tabela!$F$40&gt;Tabela!$H$40,COUNT(Tabela!$F$40)),IF(Tabela!$F$41&gt;Tabela!$H$41,COUNT(Tabela!$F$41)))</f>
        <v>0</v>
      </c>
      <c r="E40" s="96">
        <f>SUM(IF(Tabela!$H$38=Tabela!$F$38,COUNT(Tabela!$H$38)),IF(Tabela!$F$40=Tabela!$H$40,COUNT(Tabela!$F$40)),IF(Tabela!$F$41=Tabela!$H$41,COUNT(Tabela!$F$41)))</f>
        <v>0</v>
      </c>
      <c r="F40" s="96">
        <f>SUM(IF(Tabela!$H$38&lt;Tabela!$F$38,COUNT(Tabela!$H$38)),IF(Tabela!$F$40&lt;Tabela!$H$40,COUNT(Tabela!$F$40)),IF(Tabela!$F$41&lt;Tabela!$H$41,COUNT(Tabela!$F$41)))</f>
        <v>0</v>
      </c>
      <c r="G40" s="96">
        <f>SUM(Tabela!H38+Tabela!F40+Tabela!F41)</f>
        <v>0</v>
      </c>
      <c r="H40" s="96">
        <f>SUM(Tabela!F38+Tabela!H40+Tabela!H41)</f>
        <v>0</v>
      </c>
      <c r="I40" s="96">
        <f>SUM(G40-H40)</f>
        <v>0</v>
      </c>
      <c r="J40" s="95"/>
      <c r="K40" s="93" t="str">
        <f>IF(B40&lt;=B39,A40,A39)</f>
        <v>Honduras</v>
      </c>
      <c r="L40" s="93">
        <f>VLOOKUP(K40,$A$37:$I$40,2,FALSE)</f>
        <v>0</v>
      </c>
      <c r="M40" s="93"/>
      <c r="N40" s="93" t="str">
        <f>IF(L40&lt;=L38,K40,K38)</f>
        <v>Honduras</v>
      </c>
      <c r="O40" s="93">
        <f>VLOOKUP(N40,$A$37:$I$40,2,FALSE)</f>
        <v>0</v>
      </c>
      <c r="P40" s="93"/>
      <c r="Q40" s="93" t="str">
        <f>IF(O40&lt;=O37,N40,N37)</f>
        <v>Honduras</v>
      </c>
      <c r="R40" s="93">
        <f>VLOOKUP(Q40,$A$37:$I$40,2,FALSE)</f>
        <v>0</v>
      </c>
      <c r="S40" s="93">
        <f>VLOOKUP(Q40,$A$37:$I$40,9,FALSE)</f>
        <v>0</v>
      </c>
      <c r="T40" s="93"/>
      <c r="U40" s="93" t="str">
        <f>IF(AND(R39=R40,S40&gt;S39),Q39,Q40)</f>
        <v>Honduras</v>
      </c>
      <c r="V40" s="93">
        <f>VLOOKUP(U40,$A$37:$I$40,2,FALSE)</f>
        <v>0</v>
      </c>
      <c r="W40" s="93">
        <f>VLOOKUP(U40,$A$37:$I$40,9,FALSE)</f>
        <v>0</v>
      </c>
      <c r="X40" s="93" t="str">
        <f>IF(AND(V38=V40,W40&gt;W38),U38,U40)</f>
        <v>Honduras</v>
      </c>
      <c r="Y40" s="93">
        <f>VLOOKUP(X40,$A$37:$I$40,2,FALSE)</f>
        <v>0</v>
      </c>
      <c r="Z40" s="93">
        <f>VLOOKUP(X40,$A$37:$I$40,9,FALSE)</f>
        <v>0</v>
      </c>
      <c r="AA40" s="93"/>
      <c r="AB40" s="93" t="str">
        <f>IF(AND(Y40=Y37,Z40&gt;Z37),X37,X40)</f>
        <v>Honduras</v>
      </c>
      <c r="AC40" s="93">
        <f>VLOOKUP(AB40,$A$37:$I$40,2,FALSE)</f>
        <v>0</v>
      </c>
      <c r="AD40" s="93">
        <f>VLOOKUP(AB40,$A$37:$I$40,9,FALSE)</f>
        <v>0</v>
      </c>
      <c r="AE40" s="93">
        <f>VLOOKUP(AB40,$A$37:$I$40,7,FALSE)</f>
        <v>0</v>
      </c>
      <c r="AF40" s="93" t="str">
        <f>IF(AND(AC40=AC39,AD40=AD39,AE40&gt;AE39),X39,X40)</f>
        <v>Honduras</v>
      </c>
      <c r="AG40" s="93">
        <f>VLOOKUP(AF40,$A$37:$I$40,2,FALSE)</f>
        <v>0</v>
      </c>
      <c r="AH40" s="93">
        <f>VLOOKUP(AF40,$A$37:$I$40,9,FALSE)</f>
        <v>0</v>
      </c>
      <c r="AI40" s="93">
        <f>VLOOKUP(AF40,$A$37:$I$40,7,FALSE)</f>
        <v>0</v>
      </c>
      <c r="AJ40" s="93" t="str">
        <f>IF(AND(AG38=AG40,AH38=AH40,AI40&gt;AI38),AF38,AF40)</f>
        <v>Honduras</v>
      </c>
      <c r="AK40" s="93">
        <f>VLOOKUP(AJ40,$A$37:$I$40,2,FALSE)</f>
        <v>0</v>
      </c>
      <c r="AL40" s="93">
        <f>VLOOKUP(AJ40,$A$37:$I$40,9,FALSE)</f>
        <v>0</v>
      </c>
      <c r="AM40" s="93">
        <f>VLOOKUP(AJ40,$A$37:$I$40,7,FALSE)</f>
        <v>0</v>
      </c>
      <c r="AN40" s="93" t="str">
        <f>IF(AND(AK40=AK37,AL40=AL37,AM40&gt;AM37),AJ37,AJ40)</f>
        <v>Honduras</v>
      </c>
      <c r="AO40" s="93">
        <f>VLOOKUP(AN40,$A$37:$I$40,2,FALSE)</f>
        <v>0</v>
      </c>
      <c r="AP40" s="93">
        <f>VLOOKUP(AN40,$A$37:$I$40,9,FALSE)</f>
        <v>0</v>
      </c>
      <c r="AQ40" s="93">
        <f>VLOOKUP(AN40,$A$37:$I$40,7,FALSE)</f>
        <v>0</v>
      </c>
      <c r="AR40" s="93"/>
    </row>
    <row r="41" spans="1:44" ht="12.75">
      <c r="A41" s="26"/>
      <c r="B41" s="6"/>
      <c r="C41" s="6"/>
      <c r="D41" s="6"/>
      <c r="E41" s="6"/>
      <c r="F41" s="6"/>
      <c r="G41" s="6"/>
      <c r="H41" s="6"/>
      <c r="I41" s="6"/>
      <c r="J41" s="6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</row>
    <row r="42" spans="1:44" ht="12.75">
      <c r="A42" s="26"/>
      <c r="B42" s="6"/>
      <c r="C42" s="6"/>
      <c r="D42" s="6"/>
      <c r="E42" s="6"/>
      <c r="F42" s="6"/>
      <c r="G42" s="6"/>
      <c r="H42" s="6"/>
      <c r="I42" s="6"/>
      <c r="J42" s="6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</row>
    <row r="43" spans="1:44" ht="12.75">
      <c r="A43" s="26"/>
      <c r="B43" s="160" t="s">
        <v>12</v>
      </c>
      <c r="C43" s="160"/>
      <c r="D43" s="160"/>
      <c r="E43" s="160"/>
      <c r="F43" s="160"/>
      <c r="G43" s="160"/>
      <c r="H43" s="160"/>
      <c r="I43" s="160"/>
      <c r="J43" s="6"/>
      <c r="K43" s="93" t="s">
        <v>16</v>
      </c>
      <c r="L43" s="93"/>
      <c r="M43" s="93"/>
      <c r="N43" s="93" t="s">
        <v>18</v>
      </c>
      <c r="O43" s="93"/>
      <c r="P43" s="93"/>
      <c r="Q43" s="93" t="s">
        <v>17</v>
      </c>
      <c r="R43" s="93"/>
      <c r="S43" s="93"/>
      <c r="T43" s="93"/>
      <c r="U43" s="93" t="s">
        <v>17</v>
      </c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</row>
    <row r="44" spans="1:44" ht="12.75">
      <c r="A44" s="58" t="s">
        <v>15</v>
      </c>
      <c r="B44" s="95" t="s">
        <v>14</v>
      </c>
      <c r="C44" s="96" t="s">
        <v>1</v>
      </c>
      <c r="D44" s="96" t="s">
        <v>2</v>
      </c>
      <c r="E44" s="96" t="s">
        <v>4</v>
      </c>
      <c r="F44" s="96" t="s">
        <v>3</v>
      </c>
      <c r="G44" s="96" t="s">
        <v>5</v>
      </c>
      <c r="H44" s="96" t="s">
        <v>6</v>
      </c>
      <c r="I44" s="96" t="s">
        <v>7</v>
      </c>
      <c r="J44" s="97"/>
      <c r="K44" s="93"/>
      <c r="L44" s="93" t="s">
        <v>14</v>
      </c>
      <c r="M44" s="93"/>
      <c r="N44" s="93"/>
      <c r="O44" s="93" t="s">
        <v>19</v>
      </c>
      <c r="P44" s="93"/>
      <c r="Q44" s="93"/>
      <c r="R44" s="93" t="s">
        <v>14</v>
      </c>
      <c r="S44" s="93" t="s">
        <v>7</v>
      </c>
      <c r="T44" s="93"/>
      <c r="U44" s="93"/>
      <c r="V44" s="93" t="s">
        <v>14</v>
      </c>
      <c r="W44" s="93" t="s">
        <v>7</v>
      </c>
      <c r="X44" s="93"/>
      <c r="Y44" s="93" t="s">
        <v>14</v>
      </c>
      <c r="Z44" s="93" t="s">
        <v>7</v>
      </c>
      <c r="AA44" s="93"/>
      <c r="AB44" s="93"/>
      <c r="AC44" s="93" t="s">
        <v>14</v>
      </c>
      <c r="AD44" s="93" t="s">
        <v>7</v>
      </c>
      <c r="AE44" s="93" t="s">
        <v>5</v>
      </c>
      <c r="AF44" s="93"/>
      <c r="AG44" s="93" t="s">
        <v>14</v>
      </c>
      <c r="AH44" s="93" t="s">
        <v>7</v>
      </c>
      <c r="AI44" s="93" t="s">
        <v>5</v>
      </c>
      <c r="AJ44" s="93"/>
      <c r="AK44" s="93" t="s">
        <v>14</v>
      </c>
      <c r="AL44" s="93" t="s">
        <v>7</v>
      </c>
      <c r="AM44" s="93" t="s">
        <v>5</v>
      </c>
      <c r="AN44" s="93"/>
      <c r="AO44" s="93" t="s">
        <v>14</v>
      </c>
      <c r="AP44" s="93" t="s">
        <v>7</v>
      </c>
      <c r="AQ44" s="93" t="s">
        <v>5</v>
      </c>
      <c r="AR44" s="93"/>
    </row>
    <row r="45" spans="1:44" ht="12.75">
      <c r="A45" s="26" t="s">
        <v>84</v>
      </c>
      <c r="B45" s="95">
        <f>SUM(D45*3)+E45</f>
        <v>0</v>
      </c>
      <c r="C45" s="96">
        <f>COUNT(Tabela!F45,Tabela!F47,Tabela!H49)</f>
        <v>0</v>
      </c>
      <c r="D45" s="96">
        <f>SUM(IF(Tabela!$F$45&gt;Tabela!$H$45,COUNT(Tabela!$F$45)),IF(Tabela!$F$47&gt;Tabela!$H$47,COUNT(Tabela!$F$47)),IF(Tabela!$H$49&gt;Tabela!$F$49,COUNT(Tabela!$H$49)))</f>
        <v>0</v>
      </c>
      <c r="E45" s="96">
        <f>SUM(IF(Tabela!$F$45=Tabela!$H$45,COUNT(Tabela!$F$45)),IF(Tabela!$F$47=Tabela!$H$47,COUNT(Tabela!$F$47)),IF(Tabela!$H$49=Tabela!$F$49,COUNT(Tabela!$H$49)))</f>
        <v>0</v>
      </c>
      <c r="F45" s="96">
        <f>SUM(IF(Tabela!$F$45&lt;Tabela!$H$45,COUNT(Tabela!$F$45)),IF(Tabela!$F$47&lt;Tabela!$H$47,COUNT(Tabela!$F$47)),IF(Tabela!$H$49&lt;Tabela!$F$49,COUNT(Tabela!$H$49)))</f>
        <v>0</v>
      </c>
      <c r="G45" s="96">
        <f>SUM(Tabela!F45+Tabela!F47+Tabela!H49)</f>
        <v>0</v>
      </c>
      <c r="H45" s="96">
        <f>SUM(Tabela!H45+Tabela!H47+Tabela!F49)</f>
        <v>0</v>
      </c>
      <c r="I45" s="96">
        <f>SUM(G45-H45)</f>
        <v>0</v>
      </c>
      <c r="J45" s="95"/>
      <c r="K45" s="93" t="str">
        <f>IF(B45&gt;=B46,A45,A46)</f>
        <v>Argentina</v>
      </c>
      <c r="L45" s="93">
        <f>VLOOKUP(K45,$A$45:$I$48,2,FALSE)</f>
        <v>0</v>
      </c>
      <c r="M45" s="93"/>
      <c r="N45" s="93" t="str">
        <f>IF(L45&gt;=L47,K45,K47)</f>
        <v>Argentina</v>
      </c>
      <c r="O45" s="93">
        <f>VLOOKUP(N45,$A$45:$I$48,2,FALSE)</f>
        <v>0</v>
      </c>
      <c r="P45" s="93"/>
      <c r="Q45" s="93" t="str">
        <f>IF(O45&gt;=O48,N45,N48)</f>
        <v>Argentina</v>
      </c>
      <c r="R45" s="93">
        <f>VLOOKUP(Q45,$A$45:$I$48,2,FALSE)</f>
        <v>0</v>
      </c>
      <c r="S45" s="93">
        <f>VLOOKUP(Q45,$A$45:$I$48,9,FALSE)</f>
        <v>0</v>
      </c>
      <c r="T45" s="93"/>
      <c r="U45" s="93" t="str">
        <f>IF(AND(R45=R46,S46&gt;S45),Q46,Q45)</f>
        <v>Argentina</v>
      </c>
      <c r="V45" s="93">
        <f>VLOOKUP(U45,$A$45:$I$48,2,FALSE)</f>
        <v>0</v>
      </c>
      <c r="W45" s="93">
        <f>VLOOKUP(U45,$A$45:$I$48,9,FALSE)</f>
        <v>0</v>
      </c>
      <c r="X45" s="93" t="str">
        <f>IF(AND(V45=V47,W47&gt;W45),U47,U45)</f>
        <v>Argentina</v>
      </c>
      <c r="Y45" s="93">
        <f>VLOOKUP(X45,$A$45:$I$48,2,FALSE)</f>
        <v>0</v>
      </c>
      <c r="Z45" s="93">
        <f>VLOOKUP(X45,$A$45:$I$48,9,FALSE)</f>
        <v>0</v>
      </c>
      <c r="AA45" s="93"/>
      <c r="AB45" s="93" t="str">
        <f>IF(AND(Y45=Y48,Z48&gt;Z45),X48,X45)</f>
        <v>Argentina</v>
      </c>
      <c r="AC45" s="93">
        <f>VLOOKUP(AB45,$A$45:$I$48,2,FALSE)</f>
        <v>0</v>
      </c>
      <c r="AD45" s="93">
        <f>VLOOKUP(AB45,$A$45:$I$48,9,FALSE)</f>
        <v>0</v>
      </c>
      <c r="AE45" s="93">
        <f>VLOOKUP(AB45,$A$45:$I$48,7,FALSE)</f>
        <v>0</v>
      </c>
      <c r="AF45" s="93" t="str">
        <f>IF(AND(AC45=AC46,AD45=AD46,AE46&gt;AE45),AB46,AB45)</f>
        <v>Argentina</v>
      </c>
      <c r="AG45" s="93">
        <f>VLOOKUP(AF45,$A$45:$I$48,2,FALSE)</f>
        <v>0</v>
      </c>
      <c r="AH45" s="93">
        <f>VLOOKUP(AF45,$A$45:$I$48,9,FALSE)</f>
        <v>0</v>
      </c>
      <c r="AI45" s="93">
        <f>VLOOKUP(AF45,$A$45:$I$48,7,FALSE)</f>
        <v>0</v>
      </c>
      <c r="AJ45" s="93" t="str">
        <f>IF(AND(AG45=AG47,AH45=AH47,AI47&gt;AI45),AF47,AF45)</f>
        <v>Argentina</v>
      </c>
      <c r="AK45" s="93">
        <f>VLOOKUP(AJ45,$A$45:$I$48,2,FALSE)</f>
        <v>0</v>
      </c>
      <c r="AL45" s="93">
        <f>VLOOKUP(AJ45,$A$45:$I$48,9,FALSE)</f>
        <v>0</v>
      </c>
      <c r="AM45" s="93">
        <f>VLOOKUP(AJ45,$A$45:$I$48,7,FALSE)</f>
        <v>0</v>
      </c>
      <c r="AN45" s="93" t="str">
        <f>IF(AND(AK45=AK48,AL45=AL48,AM48&gt;AM45),AJ48,AJ45)</f>
        <v>Argentina</v>
      </c>
      <c r="AO45" s="93">
        <f>VLOOKUP(AN45,$A$45:$I$48,2,FALSE)</f>
        <v>0</v>
      </c>
      <c r="AP45" s="93">
        <f>VLOOKUP(AN45,$A$45:$I$48,9,FALSE)</f>
        <v>0</v>
      </c>
      <c r="AQ45" s="93">
        <f>VLOOKUP(AN45,$A$45:$I$48,7,FALSE)</f>
        <v>0</v>
      </c>
      <c r="AR45" s="93"/>
    </row>
    <row r="46" spans="1:44" ht="12.75">
      <c r="A46" s="26" t="s">
        <v>108</v>
      </c>
      <c r="B46" s="95">
        <f>SUM(D46*3)+E46</f>
        <v>0</v>
      </c>
      <c r="C46" s="96">
        <f>COUNT(Tabela!H45,Tabela!H48,Tabela!F50)</f>
        <v>0</v>
      </c>
      <c r="D46" s="96">
        <f>SUM(IF(Tabela!$H$45&gt;Tabela!$F$45,COUNT(Tabela!$H$45)),IF(Tabela!$H$48&gt;Tabela!$F$48,COUNT(Tabela!$H$48)),IF(Tabela!$F$50&gt;Tabela!$H$50,COUNT(Tabela!$F$50)))</f>
        <v>0</v>
      </c>
      <c r="E46" s="96">
        <f>SUM(IF(Tabela!$H$45=Tabela!$F$45,COUNT(Tabela!$H$45)),IF(Tabela!$H$48=Tabela!$F$48,COUNT(Tabela!$H$48)),IF(Tabela!$F$50=Tabela!$H$50,COUNT(Tabela!$F$50)))</f>
        <v>0</v>
      </c>
      <c r="F46" s="96">
        <f>SUM(IF(Tabela!$H$45&lt;Tabela!$F$45,COUNT(Tabela!$H$45)),IF(Tabela!$H$48&lt;Tabela!$F$48,COUNT(Tabela!$H$48)),IF(Tabela!$F$50&lt;Tabela!$H$50,COUNT(Tabela!$F$50)))</f>
        <v>0</v>
      </c>
      <c r="G46" s="96">
        <f>SUM(Tabela!H45+Tabela!H48+Tabela!F50)</f>
        <v>0</v>
      </c>
      <c r="H46" s="96">
        <f>SUM(Tabela!F45+Tabela!F48+Tabela!H50)</f>
        <v>0</v>
      </c>
      <c r="I46" s="96">
        <f>SUM(G46-H46)</f>
        <v>0</v>
      </c>
      <c r="J46" s="95"/>
      <c r="K46" s="93" t="str">
        <f>IF(B46&lt;=B45,A46,A45)</f>
        <v>Bósnia</v>
      </c>
      <c r="L46" s="93">
        <f>VLOOKUP(K46,$A$45:$I$48,2,FALSE)</f>
        <v>0</v>
      </c>
      <c r="M46" s="93"/>
      <c r="N46" s="93" t="str">
        <f>IF(L46&gt;=L48,K46,K48)</f>
        <v>Bósnia</v>
      </c>
      <c r="O46" s="93">
        <f>VLOOKUP(N46,$A$45:$I$48,2,FALSE)</f>
        <v>0</v>
      </c>
      <c r="P46" s="93"/>
      <c r="Q46" s="93" t="str">
        <f>IF(O46&gt;=O47,N46,N47)</f>
        <v>Bósnia</v>
      </c>
      <c r="R46" s="93">
        <f>VLOOKUP(Q46,$A$45:$I$48,2,FALSE)</f>
        <v>0</v>
      </c>
      <c r="S46" s="93">
        <f>VLOOKUP(Q46,$A$45:$I$48,9,FALSE)</f>
        <v>0</v>
      </c>
      <c r="T46" s="93"/>
      <c r="U46" s="93" t="str">
        <f>IF(AND(R45=R46,S46&gt;S45),Q45,Q46)</f>
        <v>Bósnia</v>
      </c>
      <c r="V46" s="93">
        <f>VLOOKUP(U46,$A$45:$I$48,2,FALSE)</f>
        <v>0</v>
      </c>
      <c r="W46" s="93">
        <f>VLOOKUP(U46,$A$45:$I$48,9,FALSE)</f>
        <v>0</v>
      </c>
      <c r="X46" s="93" t="str">
        <f>IF(AND(V46=V48,W48&gt;W46),U48,U46)</f>
        <v>Bósnia</v>
      </c>
      <c r="Y46" s="93">
        <f>VLOOKUP(X46,$A$45:$I$48,2,FALSE)</f>
        <v>0</v>
      </c>
      <c r="Z46" s="93">
        <f>VLOOKUP(X46,$A$45:$I$48,9,FALSE)</f>
        <v>0</v>
      </c>
      <c r="AA46" s="93"/>
      <c r="AB46" s="93" t="str">
        <f>IF(AND(Y46=Y47,Z47&gt;Z46),X47,X46)</f>
        <v>Bósnia</v>
      </c>
      <c r="AC46" s="93">
        <f>VLOOKUP(AB46,$A$45:$I$48,2,FALSE)</f>
        <v>0</v>
      </c>
      <c r="AD46" s="93">
        <f>VLOOKUP(AB46,$A$45:$I$48,9,FALSE)</f>
        <v>0</v>
      </c>
      <c r="AE46" s="93">
        <f>VLOOKUP(AB46,$A$45:$I$48,7,FALSE)</f>
        <v>0</v>
      </c>
      <c r="AF46" s="93" t="str">
        <f>IF(AND(AC46=AC45,AD46=AD45,AE46&gt;AE45),AB45,AB46)</f>
        <v>Bósnia</v>
      </c>
      <c r="AG46" s="93">
        <f>VLOOKUP(AF46,$A$45:$I$48,2,FALSE)</f>
        <v>0</v>
      </c>
      <c r="AH46" s="93">
        <f>VLOOKUP(AF46,$A$45:$I$48,9,FALSE)</f>
        <v>0</v>
      </c>
      <c r="AI46" s="93">
        <f>VLOOKUP(AF46,$A$45:$I$48,7,FALSE)</f>
        <v>0</v>
      </c>
      <c r="AJ46" s="93" t="str">
        <f>IF(AND(AG46=AG48,AH46=AH48,AI48&gt;AI46),AF48,AF46)</f>
        <v>Bósnia</v>
      </c>
      <c r="AK46" s="93">
        <f>VLOOKUP(AJ46,$A$45:$I$48,2,FALSE)</f>
        <v>0</v>
      </c>
      <c r="AL46" s="93">
        <f>VLOOKUP(AJ46,$A$45:$I$48,9,FALSE)</f>
        <v>0</v>
      </c>
      <c r="AM46" s="93">
        <f>VLOOKUP(AJ46,$A$45:$I$48,7,FALSE)</f>
        <v>0</v>
      </c>
      <c r="AN46" s="93" t="str">
        <f>IF(AND(AK46=AK47,AL46=AL47,AM47&gt;AM46),AJ47,AJ46)</f>
        <v>Bósnia</v>
      </c>
      <c r="AO46" s="93">
        <f>VLOOKUP(AN46,$A$45:$I$48,2,FALSE)</f>
        <v>0</v>
      </c>
      <c r="AP46" s="93">
        <f>VLOOKUP(AN46,$A$45:$I$48,9,FALSE)</f>
        <v>0</v>
      </c>
      <c r="AQ46" s="93">
        <f>VLOOKUP(AN46,$A$45:$I$48,7,FALSE)</f>
        <v>0</v>
      </c>
      <c r="AR46" s="93"/>
    </row>
    <row r="47" spans="1:44" ht="12.75">
      <c r="A47" s="26" t="s">
        <v>100</v>
      </c>
      <c r="B47" s="95">
        <f>SUM(D47*3)+E47</f>
        <v>0</v>
      </c>
      <c r="C47" s="96">
        <f>COUNT(Tabela!F46,Tabela!H47,Tabela!H50)</f>
        <v>0</v>
      </c>
      <c r="D47" s="96">
        <f>SUM(IF(Tabela!$F$46&gt;Tabela!$H$46,COUNT(Tabela!$F$46)),IF(Tabela!$H$47&gt;Tabela!$F$47,COUNT(Tabela!$H$47)),IF(Tabela!$H$50&gt;Tabela!$F$50,COUNT(Tabela!$H$50)))</f>
        <v>0</v>
      </c>
      <c r="E47" s="96">
        <f>SUM(IF(Tabela!$F$46=Tabela!$H$46,COUNT(Tabela!$F$46)),IF(Tabela!$H$47=Tabela!$F$47,COUNT(Tabela!$H$47)),IF(Tabela!$H$50=Tabela!$F$50,COUNT(Tabela!$H$50)))</f>
        <v>0</v>
      </c>
      <c r="F47" s="96">
        <f>SUM(IF(Tabela!$F$46&lt;Tabela!$H$46,COUNT(Tabela!$F$46)),IF(Tabela!$H$47&lt;Tabela!$H$47,COUNT(Tabela!$H$47)),IF(Tabela!$H$50&lt;Tabela!$F$50,COUNT(Tabela!$H$50)))</f>
        <v>0</v>
      </c>
      <c r="G47" s="96">
        <f>SUM(Tabela!F46+Tabela!H47+Tabela!H50)</f>
        <v>0</v>
      </c>
      <c r="H47" s="96">
        <f>SUM(Tabela!H46+Tabela!F47+Tabela!F50)</f>
        <v>0</v>
      </c>
      <c r="I47" s="96">
        <f>SUM(G47-H47)</f>
        <v>0</v>
      </c>
      <c r="J47" s="95"/>
      <c r="K47" s="93" t="str">
        <f>IF(B47&gt;=B48,A47,A48)</f>
        <v>Irã</v>
      </c>
      <c r="L47" s="93">
        <f>VLOOKUP(K47,$A$45:$I$48,2,FALSE)</f>
        <v>0</v>
      </c>
      <c r="M47" s="93"/>
      <c r="N47" s="93" t="str">
        <f>IF(L47&lt;=L45,K47,K45)</f>
        <v>Irã</v>
      </c>
      <c r="O47" s="93">
        <f>VLOOKUP(N47,$A$45:$I$48,2,FALSE)</f>
        <v>0</v>
      </c>
      <c r="P47" s="93"/>
      <c r="Q47" s="93" t="str">
        <f>IF(O47&lt;=O46,N47,N46)</f>
        <v>Irã</v>
      </c>
      <c r="R47" s="93">
        <f>VLOOKUP(Q47,$A$45:$I$48,2,FALSE)</f>
        <v>0</v>
      </c>
      <c r="S47" s="93">
        <f>VLOOKUP(Q47,$A$45:$I$48,9,FALSE)</f>
        <v>0</v>
      </c>
      <c r="T47" s="93"/>
      <c r="U47" s="93" t="str">
        <f>IF(AND(R47=R48,S48&gt;S47),Q48,Q47)</f>
        <v>Irã</v>
      </c>
      <c r="V47" s="93">
        <f>VLOOKUP(U47,$A$45:$I$48,2,FALSE)</f>
        <v>0</v>
      </c>
      <c r="W47" s="93">
        <f>VLOOKUP(U47,$A$45:$I$48,9,FALSE)</f>
        <v>0</v>
      </c>
      <c r="X47" s="93" t="str">
        <f>IF(AND(V45=V47,W47&gt;W45),U45,U47)</f>
        <v>Irã</v>
      </c>
      <c r="Y47" s="93">
        <f>VLOOKUP(X47,$A$45:$I$48,2,FALSE)</f>
        <v>0</v>
      </c>
      <c r="Z47" s="93">
        <f>VLOOKUP(X47,$A$45:$I$48,9,FALSE)</f>
        <v>0</v>
      </c>
      <c r="AA47" s="93"/>
      <c r="AB47" s="93" t="str">
        <f>IF(AND(Y47=Y46,Z47&gt;Z46),X46,X47)</f>
        <v>Irã</v>
      </c>
      <c r="AC47" s="93">
        <f>VLOOKUP(AB47,$A$45:$I$48,2,FALSE)</f>
        <v>0</v>
      </c>
      <c r="AD47" s="93">
        <f>VLOOKUP(AB47,$A$45:$I$48,9,FALSE)</f>
        <v>0</v>
      </c>
      <c r="AE47" s="93">
        <f>VLOOKUP(AB47,$A$45:$I$48,7,FALSE)</f>
        <v>0</v>
      </c>
      <c r="AF47" s="93" t="str">
        <f>IF(AND(AC47=AC48,AD47=AD48,AE48&gt;AE47),AB48,AB47)</f>
        <v>Irã</v>
      </c>
      <c r="AG47" s="93">
        <f>VLOOKUP(AF47,$A$45:$I$48,2,FALSE)</f>
        <v>0</v>
      </c>
      <c r="AH47" s="93">
        <f>VLOOKUP(AF47,$A$45:$I$48,9,FALSE)</f>
        <v>0</v>
      </c>
      <c r="AI47" s="93">
        <f>VLOOKUP(AF47,$A$45:$I$48,7,FALSE)</f>
        <v>0</v>
      </c>
      <c r="AJ47" s="93" t="str">
        <f>IF(AND(AG47=AG45,AH47=AH45,AI47&gt;AI45),AF45,AF47)</f>
        <v>Irã</v>
      </c>
      <c r="AK47" s="93">
        <f>VLOOKUP(AJ47,$A$45:$I$48,2,FALSE)</f>
        <v>0</v>
      </c>
      <c r="AL47" s="93">
        <f>VLOOKUP(AJ47,$A$45:$I$48,9,FALSE)</f>
        <v>0</v>
      </c>
      <c r="AM47" s="93">
        <f>VLOOKUP(AJ47,$A$45:$I$48,7,FALSE)</f>
        <v>0</v>
      </c>
      <c r="AN47" s="93" t="str">
        <f>IF(AND(AK47=AK46,AL47=AL46,AM47&gt;AM46),AJ46,AJ47)</f>
        <v>Irã</v>
      </c>
      <c r="AO47" s="93">
        <f>VLOOKUP(AN47,$A$45:$I$48,2,FALSE)</f>
        <v>0</v>
      </c>
      <c r="AP47" s="93">
        <f>VLOOKUP(AN47,$A$45:$I$48,9,FALSE)</f>
        <v>0</v>
      </c>
      <c r="AQ47" s="93">
        <f>VLOOKUP(AN47,$A$45:$I$48,7,FALSE)</f>
        <v>0</v>
      </c>
      <c r="AR47" s="93"/>
    </row>
    <row r="48" spans="1:44" ht="12.75">
      <c r="A48" s="26" t="s">
        <v>99</v>
      </c>
      <c r="B48" s="95">
        <f>SUM(D48*3)+E48</f>
        <v>0</v>
      </c>
      <c r="C48" s="96">
        <f>COUNT(Tabela!H46,Tabela!F48,Tabela!F49)</f>
        <v>0</v>
      </c>
      <c r="D48" s="96">
        <f>SUM(IF(Tabela!$H$46&gt;Tabela!$F$46,COUNT(Tabela!$H$46)),IF(Tabela!$F$48&gt;Tabela!$H$48,COUNT(Tabela!$F$48)),IF(Tabela!$F$49&gt;Tabela!$H$49,COUNT(Tabela!$F$49)))</f>
        <v>0</v>
      </c>
      <c r="E48" s="96">
        <f>SUM(IF(Tabela!$H$46=Tabela!$F$46,COUNT(Tabela!$H$46)),IF(Tabela!$F$48=Tabela!$H$48,COUNT(Tabela!$F$48)),IF(Tabela!$F$49=Tabela!$H$49,COUNT(Tabela!$F$49)))</f>
        <v>0</v>
      </c>
      <c r="F48" s="96">
        <f>SUM(IF(Tabela!$H$46&lt;Tabela!$F$46,COUNT(Tabela!$H$46)),IF(Tabela!$F$48&lt;Tabela!$H$48,COUNT(Tabela!$F$48)),IF(Tabela!$F$49&lt;Tabela!$H$49,COUNT(Tabela!$F$49)))</f>
        <v>0</v>
      </c>
      <c r="G48" s="96">
        <f>SUM(Tabela!H46+Tabela!F48+Tabela!F49)</f>
        <v>0</v>
      </c>
      <c r="H48" s="96">
        <f>SUM(Tabela!F46+Tabela!H48+Tabela!H49)</f>
        <v>0</v>
      </c>
      <c r="I48" s="96">
        <f>SUM(G48-H48)</f>
        <v>0</v>
      </c>
      <c r="J48" s="95"/>
      <c r="K48" s="93" t="str">
        <f>IF(B48&lt;=B47,A48,A47)</f>
        <v>Nigéria</v>
      </c>
      <c r="L48" s="93">
        <f>VLOOKUP(K48,$A$45:$I$48,2,FALSE)</f>
        <v>0</v>
      </c>
      <c r="M48" s="93"/>
      <c r="N48" s="93" t="str">
        <f>IF(L48&lt;=L46,K48,K46)</f>
        <v>Nigéria</v>
      </c>
      <c r="O48" s="93">
        <f>VLOOKUP(N48,$A$45:$I$48,2,FALSE)</f>
        <v>0</v>
      </c>
      <c r="P48" s="93"/>
      <c r="Q48" s="93" t="str">
        <f>IF(O48&lt;=O45,N48,N45)</f>
        <v>Nigéria</v>
      </c>
      <c r="R48" s="93">
        <f>VLOOKUP(Q48,$A$45:$I$48,2,FALSE)</f>
        <v>0</v>
      </c>
      <c r="S48" s="93">
        <f>VLOOKUP(Q48,$A$45:$I$48,9,FALSE)</f>
        <v>0</v>
      </c>
      <c r="T48" s="93"/>
      <c r="U48" s="93" t="str">
        <f>IF(AND(R47=R48,S48&gt;S47),Q47,Q48)</f>
        <v>Nigéria</v>
      </c>
      <c r="V48" s="93">
        <f>VLOOKUP(U48,$A$45:$I$48,2,FALSE)</f>
        <v>0</v>
      </c>
      <c r="W48" s="93">
        <f>VLOOKUP(U48,$A$45:$I$48,9,FALSE)</f>
        <v>0</v>
      </c>
      <c r="X48" s="93" t="str">
        <f>IF(AND(V46=V48,W48&gt;W46),U46,U48)</f>
        <v>Nigéria</v>
      </c>
      <c r="Y48" s="93">
        <f>VLOOKUP(X48,$A$45:$I$48,2,FALSE)</f>
        <v>0</v>
      </c>
      <c r="Z48" s="93">
        <f>VLOOKUP(X48,$A$45:$I$48,9,FALSE)</f>
        <v>0</v>
      </c>
      <c r="AA48" s="93"/>
      <c r="AB48" s="93" t="str">
        <f>IF(AND(Y48=Y45,Z48&gt;Z45),X45,X48)</f>
        <v>Nigéria</v>
      </c>
      <c r="AC48" s="93">
        <f>VLOOKUP(AB48,$A$45:$I$48,2,FALSE)</f>
        <v>0</v>
      </c>
      <c r="AD48" s="93">
        <f>VLOOKUP(AB48,$A$45:$I$48,9,FALSE)</f>
        <v>0</v>
      </c>
      <c r="AE48" s="93">
        <f>VLOOKUP(AB48,$A$45:$I$48,7,FALSE)</f>
        <v>0</v>
      </c>
      <c r="AF48" s="93" t="str">
        <f>IF(AND(AC48=AC47,AD48=AD47,AE48&gt;AE47),X47,X48)</f>
        <v>Nigéria</v>
      </c>
      <c r="AG48" s="93">
        <f>VLOOKUP(AF48,$A$45:$I$48,2,FALSE)</f>
        <v>0</v>
      </c>
      <c r="AH48" s="93">
        <f>VLOOKUP(AF48,$A$45:$I$48,9,FALSE)</f>
        <v>0</v>
      </c>
      <c r="AI48" s="93">
        <f>VLOOKUP(AF48,$A$45:$I$48,7,FALSE)</f>
        <v>0</v>
      </c>
      <c r="AJ48" s="93" t="str">
        <f>IF(AND(AG46=AG48,AH46=AH48,AI48&gt;AI46),AF46,AF48)</f>
        <v>Nigéria</v>
      </c>
      <c r="AK48" s="93">
        <f>VLOOKUP(AJ48,$A$45:$I$48,2,FALSE)</f>
        <v>0</v>
      </c>
      <c r="AL48" s="93">
        <f>VLOOKUP(AJ48,$A$45:$I$48,9,FALSE)</f>
        <v>0</v>
      </c>
      <c r="AM48" s="93">
        <f>VLOOKUP(AJ48,$A$45:$I$48,7,FALSE)</f>
        <v>0</v>
      </c>
      <c r="AN48" s="93" t="str">
        <f>IF(AND(AK48=AK45,AL48=AL45,AM48&gt;AM45),AJ45,AJ48)</f>
        <v>Nigéria</v>
      </c>
      <c r="AO48" s="93">
        <f>VLOOKUP(AN48,$A$45:$I$48,2,FALSE)</f>
        <v>0</v>
      </c>
      <c r="AP48" s="93">
        <f>VLOOKUP(AN48,$A$45:$I$48,9,FALSE)</f>
        <v>0</v>
      </c>
      <c r="AQ48" s="93">
        <f>VLOOKUP(AN48,$A$45:$I$48,7,FALSE)</f>
        <v>0</v>
      </c>
      <c r="AR48" s="93"/>
    </row>
    <row r="49" spans="1:44" ht="12.75">
      <c r="A49" s="26"/>
      <c r="B49" s="6"/>
      <c r="C49" s="6"/>
      <c r="D49" s="6"/>
      <c r="E49" s="6"/>
      <c r="F49" s="6"/>
      <c r="G49" s="6"/>
      <c r="H49" s="6"/>
      <c r="I49" s="6"/>
      <c r="J49" s="6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</row>
    <row r="50" spans="1:44" ht="12.75">
      <c r="A50" s="26"/>
      <c r="B50" s="6"/>
      <c r="C50" s="6"/>
      <c r="D50" s="6"/>
      <c r="E50" s="6"/>
      <c r="F50" s="6"/>
      <c r="G50" s="6"/>
      <c r="H50" s="6"/>
      <c r="I50" s="6"/>
      <c r="J50" s="6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</row>
    <row r="51" spans="1:44" ht="12.75">
      <c r="A51" s="26"/>
      <c r="B51" s="161" t="s">
        <v>13</v>
      </c>
      <c r="C51" s="161"/>
      <c r="D51" s="161"/>
      <c r="E51" s="161"/>
      <c r="F51" s="161"/>
      <c r="G51" s="161"/>
      <c r="H51" s="161"/>
      <c r="I51" s="161"/>
      <c r="J51" s="6"/>
      <c r="K51" s="93" t="s">
        <v>16</v>
      </c>
      <c r="L51" s="93"/>
      <c r="M51" s="93"/>
      <c r="N51" s="93" t="s">
        <v>18</v>
      </c>
      <c r="O51" s="93"/>
      <c r="P51" s="93"/>
      <c r="Q51" s="93" t="s">
        <v>17</v>
      </c>
      <c r="R51" s="93"/>
      <c r="S51" s="93"/>
      <c r="T51" s="93"/>
      <c r="U51" s="93" t="s">
        <v>17</v>
      </c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</row>
    <row r="52" spans="1:44" ht="12.75">
      <c r="A52" s="58" t="s">
        <v>15</v>
      </c>
      <c r="B52" s="95" t="s">
        <v>14</v>
      </c>
      <c r="C52" s="96" t="s">
        <v>1</v>
      </c>
      <c r="D52" s="96" t="s">
        <v>2</v>
      </c>
      <c r="E52" s="96" t="s">
        <v>4</v>
      </c>
      <c r="F52" s="96" t="s">
        <v>3</v>
      </c>
      <c r="G52" s="96" t="s">
        <v>5</v>
      </c>
      <c r="H52" s="96" t="s">
        <v>6</v>
      </c>
      <c r="I52" s="96" t="s">
        <v>7</v>
      </c>
      <c r="J52" s="97"/>
      <c r="K52" s="93"/>
      <c r="L52" s="93" t="s">
        <v>14</v>
      </c>
      <c r="M52" s="93"/>
      <c r="N52" s="93"/>
      <c r="O52" s="93" t="s">
        <v>19</v>
      </c>
      <c r="P52" s="93"/>
      <c r="Q52" s="93"/>
      <c r="R52" s="93" t="s">
        <v>14</v>
      </c>
      <c r="S52" s="93" t="s">
        <v>7</v>
      </c>
      <c r="T52" s="93"/>
      <c r="U52" s="93"/>
      <c r="V52" s="93" t="s">
        <v>14</v>
      </c>
      <c r="W52" s="93" t="s">
        <v>7</v>
      </c>
      <c r="X52" s="93"/>
      <c r="Y52" s="93" t="s">
        <v>14</v>
      </c>
      <c r="Z52" s="93" t="s">
        <v>7</v>
      </c>
      <c r="AA52" s="93"/>
      <c r="AB52" s="93"/>
      <c r="AC52" s="93" t="s">
        <v>14</v>
      </c>
      <c r="AD52" s="93" t="s">
        <v>7</v>
      </c>
      <c r="AE52" s="93" t="s">
        <v>5</v>
      </c>
      <c r="AF52" s="93"/>
      <c r="AG52" s="93" t="s">
        <v>14</v>
      </c>
      <c r="AH52" s="93" t="s">
        <v>7</v>
      </c>
      <c r="AI52" s="93" t="s">
        <v>5</v>
      </c>
      <c r="AJ52" s="93"/>
      <c r="AK52" s="93" t="s">
        <v>14</v>
      </c>
      <c r="AL52" s="93" t="s">
        <v>7</v>
      </c>
      <c r="AM52" s="93" t="s">
        <v>5</v>
      </c>
      <c r="AN52" s="93"/>
      <c r="AO52" s="93" t="s">
        <v>14</v>
      </c>
      <c r="AP52" s="93" t="s">
        <v>7</v>
      </c>
      <c r="AQ52" s="93" t="s">
        <v>5</v>
      </c>
      <c r="AR52" s="93"/>
    </row>
    <row r="53" spans="1:44" ht="12.75">
      <c r="A53" s="26" t="s">
        <v>85</v>
      </c>
      <c r="B53" s="95">
        <f>SUM(D53*3)+E53</f>
        <v>0</v>
      </c>
      <c r="C53" s="96">
        <f>COUNT(Tabela!F53,Tabela!F55,Tabela!H57)</f>
        <v>0</v>
      </c>
      <c r="D53" s="96">
        <f>SUM(IF(Tabela!$F$53&gt;Tabela!$H$53,COUNT(Tabela!$F$53)),IF(Tabela!$F$55&gt;Tabela!$H$55,COUNT(Tabela!$F$55)),IF(Tabela!$H$57&gt;Tabela!$F$57,COUNT(Tabela!$H$57)))</f>
        <v>0</v>
      </c>
      <c r="E53" s="96">
        <f>SUM(IF(Tabela!$F$53=Tabela!$H$53,COUNT(Tabela!$F$53)),IF(Tabela!$F$55=Tabela!$H$55,COUNT(Tabela!$F$55)),IF(Tabela!$H$57=Tabela!$F$57,COUNT(Tabela!$H$57)))</f>
        <v>0</v>
      </c>
      <c r="F53" s="96">
        <f>SUM(IF(Tabela!$F$53&lt;Tabela!$H$53,COUNT(Tabela!$F$53)),IF(Tabela!$F$55&lt;Tabela!$H$55,COUNT(Tabela!$F$55)),IF(Tabela!$H$57&lt;Tabela!$F$57,COUNT(Tabela!$H$57)))</f>
        <v>0</v>
      </c>
      <c r="G53" s="96">
        <f>SUM(Tabela!F53+Tabela!F55+Tabela!H57)</f>
        <v>0</v>
      </c>
      <c r="H53" s="96">
        <f>SUM(Tabela!H53+Tabela!H55+Tabela!F57)</f>
        <v>0</v>
      </c>
      <c r="I53" s="96">
        <f>SUM(G53-H53)</f>
        <v>0</v>
      </c>
      <c r="J53" s="95"/>
      <c r="K53" s="93" t="str">
        <f>IF(B53&gt;=B54,A53,A54)</f>
        <v>Alemanha</v>
      </c>
      <c r="L53" s="93">
        <f>VLOOKUP(K53,$A$53:$I$56,2,FALSE)</f>
        <v>0</v>
      </c>
      <c r="M53" s="93"/>
      <c r="N53" s="93" t="str">
        <f>IF(L53&gt;=L55,K53,K55)</f>
        <v>Alemanha</v>
      </c>
      <c r="O53" s="93">
        <f>VLOOKUP(N53,$A$53:$I$56,2,FALSE)</f>
        <v>0</v>
      </c>
      <c r="P53" s="93"/>
      <c r="Q53" s="93" t="str">
        <f>IF(O53&gt;=O56,N53,N56)</f>
        <v>Alemanha</v>
      </c>
      <c r="R53" s="93">
        <f>VLOOKUP(Q53,$A$53:$I$56,2,FALSE)</f>
        <v>0</v>
      </c>
      <c r="S53" s="93">
        <f>VLOOKUP(Q53,$A$53:$I$56,9,FALSE)</f>
        <v>0</v>
      </c>
      <c r="T53" s="93"/>
      <c r="U53" s="93" t="str">
        <f>IF(AND(R53=R54,S54&gt;S53),Q54,Q53)</f>
        <v>Alemanha</v>
      </c>
      <c r="V53" s="93">
        <f>VLOOKUP(U53,$A$53:$I$56,2,FALSE)</f>
        <v>0</v>
      </c>
      <c r="W53" s="93">
        <f>VLOOKUP(U53,$A$53:$I$56,9,FALSE)</f>
        <v>0</v>
      </c>
      <c r="X53" s="93" t="str">
        <f>IF(AND(V53=V55,W55&gt;W53),U55,U53)</f>
        <v>Alemanha</v>
      </c>
      <c r="Y53" s="93">
        <f>VLOOKUP(X53,$A$53:$I$56,2,FALSE)</f>
        <v>0</v>
      </c>
      <c r="Z53" s="93">
        <f>VLOOKUP(X53,$A$53:$I$56,9,FALSE)</f>
        <v>0</v>
      </c>
      <c r="AA53" s="93"/>
      <c r="AB53" s="93" t="str">
        <f>IF(AND(Y53=Y56,Z56&gt;Z53),X56,X53)</f>
        <v>Alemanha</v>
      </c>
      <c r="AC53" s="93">
        <f>VLOOKUP(AB53,$A$53:$I$56,2,FALSE)</f>
        <v>0</v>
      </c>
      <c r="AD53" s="93">
        <f>VLOOKUP(AB53,$A$53:$I$56,9,FALSE)</f>
        <v>0</v>
      </c>
      <c r="AE53" s="93">
        <f>VLOOKUP(AB53,$A$53:$I$56,7,FALSE)</f>
        <v>0</v>
      </c>
      <c r="AF53" s="93" t="str">
        <f>IF(AND(AC53=AC54,AD53=AD54,AE54&gt;AE53),AB54,AB53)</f>
        <v>Alemanha</v>
      </c>
      <c r="AG53" s="93">
        <f>VLOOKUP(AF53,$A$53:$I$56,2,FALSE)</f>
        <v>0</v>
      </c>
      <c r="AH53" s="93">
        <f>VLOOKUP(AF53,$A$53:$I$56,9,FALSE)</f>
        <v>0</v>
      </c>
      <c r="AI53" s="93">
        <f>VLOOKUP(AF53,$A$53:$I$56,7,FALSE)</f>
        <v>0</v>
      </c>
      <c r="AJ53" s="93" t="str">
        <f>IF(AND(AG53=AG55,AH53=AH55,AI55&gt;AI53),AF55,AF53)</f>
        <v>Alemanha</v>
      </c>
      <c r="AK53" s="93">
        <f>VLOOKUP(AJ53,$A$53:$I$56,2,FALSE)</f>
        <v>0</v>
      </c>
      <c r="AL53" s="93">
        <f>VLOOKUP(AJ53,$A$53:$I$56,9,FALSE)</f>
        <v>0</v>
      </c>
      <c r="AM53" s="93">
        <f>VLOOKUP(AJ53,$A$53:$I$56,7,FALSE)</f>
        <v>0</v>
      </c>
      <c r="AN53" s="93" t="str">
        <f>IF(AND(AK53=AK56,AL53=AL56,AM56&gt;AM53),AJ56,AJ53)</f>
        <v>Alemanha</v>
      </c>
      <c r="AO53" s="93">
        <f>VLOOKUP(AN53,$A$53:$I$56,2,FALSE)</f>
        <v>0</v>
      </c>
      <c r="AP53" s="93">
        <f>VLOOKUP(AN53,$A$53:$I$56,9,FALSE)</f>
        <v>0</v>
      </c>
      <c r="AQ53" s="93">
        <f>VLOOKUP(AN53,$A$53:$I$56,7,FALSE)</f>
        <v>0</v>
      </c>
      <c r="AR53" s="93"/>
    </row>
    <row r="54" spans="1:44" ht="12.75">
      <c r="A54" s="26" t="s">
        <v>109</v>
      </c>
      <c r="B54" s="95">
        <f>SUM(D54*3)+E54</f>
        <v>0</v>
      </c>
      <c r="C54" s="96">
        <f>COUNT(Tabela!H53,Tabela!H56,Tabela!F58)</f>
        <v>0</v>
      </c>
      <c r="D54" s="96">
        <f>SUM(IF(Tabela!$H$53&gt;Tabela!$F$53,COUNT(Tabela!$H$53)),IF(Tabela!$H$56&gt;Tabela!$F$56,COUNT(Tabela!$H$56)),IF(Tabela!$F$58&gt;Tabela!$H$58,COUNT(Tabela!$F$58)))</f>
        <v>0</v>
      </c>
      <c r="E54" s="96">
        <f>SUM(IF(Tabela!$H$53=Tabela!$F$53,COUNT(Tabela!$H$53)),IF(Tabela!$H$56=Tabela!$F$56,COUNT(Tabela!$H$56)),IF(Tabela!$F$58=Tabela!$H$58,COUNT(Tabela!$F$58)))</f>
        <v>0</v>
      </c>
      <c r="F54" s="96">
        <f>SUM(IF(Tabela!$H$53&lt;Tabela!$F$53,COUNT(Tabela!$H$53)),IF(Tabela!$H$56&lt;Tabela!$F$56,COUNT(Tabela!$H$56)),IF(Tabela!$F$58&lt;Tabela!$H$58,COUNT(Tabela!$F$58)))</f>
        <v>0</v>
      </c>
      <c r="G54" s="96">
        <f>SUM(Tabela!H53+Tabela!H56+Tabela!F58)</f>
        <v>0</v>
      </c>
      <c r="H54" s="96">
        <f>SUM(Tabela!F53+Tabela!F56+Tabela!H58)</f>
        <v>0</v>
      </c>
      <c r="I54" s="96">
        <f>SUM(G54-H54)</f>
        <v>0</v>
      </c>
      <c r="J54" s="95"/>
      <c r="K54" s="93" t="str">
        <f>IF(B54&lt;=B53,A54,A53)</f>
        <v>Portugal</v>
      </c>
      <c r="L54" s="93">
        <f>VLOOKUP(K54,$A$53:$I$56,2,FALSE)</f>
        <v>0</v>
      </c>
      <c r="M54" s="93"/>
      <c r="N54" s="93" t="str">
        <f>IF(L54&gt;=L56,K54,K56)</f>
        <v>Portugal</v>
      </c>
      <c r="O54" s="93">
        <f>VLOOKUP(N54,$A$53:$I$56,2,FALSE)</f>
        <v>0</v>
      </c>
      <c r="P54" s="93"/>
      <c r="Q54" s="93" t="str">
        <f>IF(O54&gt;=O55,N54,N55)</f>
        <v>Portugal</v>
      </c>
      <c r="R54" s="93">
        <f>VLOOKUP(Q54,$A$53:$I$56,2,FALSE)</f>
        <v>0</v>
      </c>
      <c r="S54" s="93">
        <f>VLOOKUP(Q54,$A$53:$I$56,9,FALSE)</f>
        <v>0</v>
      </c>
      <c r="T54" s="93"/>
      <c r="U54" s="93" t="str">
        <f>IF(AND(R53=R54,S54&gt;S53),Q53,Q54)</f>
        <v>Portugal</v>
      </c>
      <c r="V54" s="93">
        <f>VLOOKUP(U54,$A$53:$I$56,2,FALSE)</f>
        <v>0</v>
      </c>
      <c r="W54" s="93">
        <f>VLOOKUP(U54,$A$53:$I$56,9,FALSE)</f>
        <v>0</v>
      </c>
      <c r="X54" s="93" t="str">
        <f>IF(AND(V54=V56,W56&gt;W54),U56,U54)</f>
        <v>Portugal</v>
      </c>
      <c r="Y54" s="93">
        <f>VLOOKUP(X54,$A$53:$I$56,2,FALSE)</f>
        <v>0</v>
      </c>
      <c r="Z54" s="93">
        <f>VLOOKUP(X54,$A$53:$I$56,9,FALSE)</f>
        <v>0</v>
      </c>
      <c r="AA54" s="93"/>
      <c r="AB54" s="93" t="str">
        <f>IF(AND(Y54=Y55,Z55&gt;Z54),X55,X54)</f>
        <v>Portugal</v>
      </c>
      <c r="AC54" s="93">
        <f>VLOOKUP(AB54,$A$53:$I$56,2,FALSE)</f>
        <v>0</v>
      </c>
      <c r="AD54" s="93">
        <f>VLOOKUP(AB54,$A$53:$I$56,9,FALSE)</f>
        <v>0</v>
      </c>
      <c r="AE54" s="93">
        <f>VLOOKUP(AB54,$A$53:$I$56,7,FALSE)</f>
        <v>0</v>
      </c>
      <c r="AF54" s="93" t="str">
        <f>IF(AND(AC54=AC53,AD54=AD53,AE54&gt;AE53),AB53,AB54)</f>
        <v>Portugal</v>
      </c>
      <c r="AG54" s="93">
        <f>VLOOKUP(AF54,$A$53:$I$56,2,FALSE)</f>
        <v>0</v>
      </c>
      <c r="AH54" s="93">
        <f>VLOOKUP(AF54,$A$53:$I$56,9,FALSE)</f>
        <v>0</v>
      </c>
      <c r="AI54" s="93">
        <f>VLOOKUP(AF54,$A$53:$I$56,7,FALSE)</f>
        <v>0</v>
      </c>
      <c r="AJ54" s="93" t="str">
        <f>IF(AND(AG54=AG56,AH54=AH56,AI56&gt;AI54),AF56,AF54)</f>
        <v>Portugal</v>
      </c>
      <c r="AK54" s="93">
        <f>VLOOKUP(AJ54,$A$53:$I$56,2,FALSE)</f>
        <v>0</v>
      </c>
      <c r="AL54" s="93">
        <f>VLOOKUP(AJ54,$A$53:$I$56,9,FALSE)</f>
        <v>0</v>
      </c>
      <c r="AM54" s="93">
        <f>VLOOKUP(AJ54,$A$53:$I$56,7,FALSE)</f>
        <v>0</v>
      </c>
      <c r="AN54" s="93" t="str">
        <f>IF(AND(AK54=AK55,AL54=AL55,AM55&gt;AM54),AJ55,AJ54)</f>
        <v>Portugal</v>
      </c>
      <c r="AO54" s="93">
        <f>VLOOKUP(AN54,$A$53:$I$56,2,FALSE)</f>
        <v>0</v>
      </c>
      <c r="AP54" s="93">
        <f>VLOOKUP(AN54,$A$53:$I$56,9,FALSE)</f>
        <v>0</v>
      </c>
      <c r="AQ54" s="93">
        <f>VLOOKUP(AN54,$A$53:$I$56,7,FALSE)</f>
        <v>0</v>
      </c>
      <c r="AR54" s="93"/>
    </row>
    <row r="55" spans="1:44" ht="12.75">
      <c r="A55" s="26" t="s">
        <v>92</v>
      </c>
      <c r="B55" s="95">
        <f>SUM(D55*3)+E55</f>
        <v>0</v>
      </c>
      <c r="C55" s="96">
        <f>COUNT(Tabela!F54,Tabela!H55,Tabela!H58)</f>
        <v>0</v>
      </c>
      <c r="D55" s="96">
        <f>SUM(IF(Tabela!$F$54&gt;Tabela!$H$54,COUNT(Tabela!$F$54)),IF(Tabela!$H$55&gt;Tabela!$F$55,COUNT(Tabela!$H$55)),IF(Tabela!$H$58&gt;Tabela!$F$58,COUNT(Tabela!$H$58)))</f>
        <v>0</v>
      </c>
      <c r="E55" s="96">
        <f>SUM(IF(Tabela!$F$54=Tabela!$H$54,COUNT(Tabela!$F$54)),IF(Tabela!$H$55=Tabela!$F$55,COUNT(Tabela!$H$55)),IF(Tabela!$H$58=Tabela!$F$58,COUNT(Tabela!$H$58)))</f>
        <v>0</v>
      </c>
      <c r="F55" s="96">
        <f>SUM(IF(Tabela!$F$54&lt;Tabela!$H$54,COUNT(Tabela!$F$54)),IF(Tabela!$H$55&lt;Tabela!$F$55,COUNT(Tabela!$H$55)),IF(Tabela!$H$58&lt;Tabela!$F$58,COUNT(Tabela!$H$58)))</f>
        <v>0</v>
      </c>
      <c r="G55" s="96">
        <f>SUM(Tabela!F54+Tabela!H55+Tabela!H58)</f>
        <v>0</v>
      </c>
      <c r="H55" s="96">
        <f>SUM(Tabela!H54+Tabela!F55+Tabela!F58)</f>
        <v>0</v>
      </c>
      <c r="I55" s="96">
        <f>SUM(G55-H55)</f>
        <v>0</v>
      </c>
      <c r="J55" s="95"/>
      <c r="K55" s="93" t="str">
        <f>IF(B55&gt;=B56,A55,A56)</f>
        <v>Gana</v>
      </c>
      <c r="L55" s="93">
        <f>VLOOKUP(K55,$A$53:$I$56,2,FALSE)</f>
        <v>0</v>
      </c>
      <c r="M55" s="93"/>
      <c r="N55" s="93" t="str">
        <f>IF(L55&lt;=L53,K55,K53)</f>
        <v>Gana</v>
      </c>
      <c r="O55" s="93">
        <f>VLOOKUP(N55,$A$53:$I$56,2,FALSE)</f>
        <v>0</v>
      </c>
      <c r="P55" s="93"/>
      <c r="Q55" s="93" t="str">
        <f>IF(O55&lt;=O54,N55,N54)</f>
        <v>Gana</v>
      </c>
      <c r="R55" s="93">
        <f>VLOOKUP(Q55,$A$53:$I$56,2,FALSE)</f>
        <v>0</v>
      </c>
      <c r="S55" s="93">
        <f>VLOOKUP(Q55,$A$53:$I$56,9,FALSE)</f>
        <v>0</v>
      </c>
      <c r="T55" s="93"/>
      <c r="U55" s="93" t="str">
        <f>IF(AND(R55=R56,S56&gt;S55),Q56,Q55)</f>
        <v>Gana</v>
      </c>
      <c r="V55" s="93">
        <f>VLOOKUP(U55,$A$53:$I$56,2,FALSE)</f>
        <v>0</v>
      </c>
      <c r="W55" s="93">
        <f>VLOOKUP(U55,$A$53:$I$56,9,FALSE)</f>
        <v>0</v>
      </c>
      <c r="X55" s="93" t="str">
        <f>IF(AND(V53=V55,W55&gt;W53),U53,U55)</f>
        <v>Gana</v>
      </c>
      <c r="Y55" s="93">
        <f>VLOOKUP(X55,$A$53:$I$56,2,FALSE)</f>
        <v>0</v>
      </c>
      <c r="Z55" s="93">
        <f>VLOOKUP(X55,$A$53:$I$56,9,FALSE)</f>
        <v>0</v>
      </c>
      <c r="AA55" s="93"/>
      <c r="AB55" s="93" t="str">
        <f>IF(AND(Y55=Y54,Z55&gt;Z54),X54,X55)</f>
        <v>Gana</v>
      </c>
      <c r="AC55" s="93">
        <f>VLOOKUP(AB55,$A$53:$I$56,2,FALSE)</f>
        <v>0</v>
      </c>
      <c r="AD55" s="93">
        <f>VLOOKUP(AB55,$A$53:$I$56,9,FALSE)</f>
        <v>0</v>
      </c>
      <c r="AE55" s="93">
        <f>VLOOKUP(AB55,$A$53:$I$56,7,FALSE)</f>
        <v>0</v>
      </c>
      <c r="AF55" s="93" t="str">
        <f>IF(AND(AC55=AC56,AD55=AD56,AE56&gt;AE55),AB56,AB55)</f>
        <v>Gana</v>
      </c>
      <c r="AG55" s="93">
        <f>VLOOKUP(AF55,$A$53:$I$56,2,FALSE)</f>
        <v>0</v>
      </c>
      <c r="AH55" s="93">
        <f>VLOOKUP(AF55,$A$53:$I$56,9,FALSE)</f>
        <v>0</v>
      </c>
      <c r="AI55" s="93">
        <f>VLOOKUP(AF55,$A$53:$I$56,7,FALSE)</f>
        <v>0</v>
      </c>
      <c r="AJ55" s="93" t="str">
        <f>IF(AND(AG55=AG53,AH55=AH53,AI55&gt;AI53),AF53,AF55)</f>
        <v>Gana</v>
      </c>
      <c r="AK55" s="93">
        <f>VLOOKUP(AJ55,$A$53:$I$56,2,FALSE)</f>
        <v>0</v>
      </c>
      <c r="AL55" s="93">
        <f>VLOOKUP(AJ55,$A$53:$I$56,9,FALSE)</f>
        <v>0</v>
      </c>
      <c r="AM55" s="93">
        <f>VLOOKUP(AJ55,$A$53:$I$56,7,FALSE)</f>
        <v>0</v>
      </c>
      <c r="AN55" s="93" t="str">
        <f>IF(AND(AK55=AK54,AL55=AL54,AM55&gt;AM54),AJ54,AJ55)</f>
        <v>Gana</v>
      </c>
      <c r="AO55" s="93">
        <f>VLOOKUP(AN55,$A$53:$I$56,2,FALSE)</f>
        <v>0</v>
      </c>
      <c r="AP55" s="93">
        <f>VLOOKUP(AN55,$A$53:$I$56,9,FALSE)</f>
        <v>0</v>
      </c>
      <c r="AQ55" s="93">
        <f>VLOOKUP(AN55,$A$53:$I$56,7,FALSE)</f>
        <v>0</v>
      </c>
      <c r="AR55" s="93"/>
    </row>
    <row r="56" spans="1:44" ht="12.75">
      <c r="A56" s="26" t="s">
        <v>101</v>
      </c>
      <c r="B56" s="95">
        <f>SUM(D56*3)+E56</f>
        <v>0</v>
      </c>
      <c r="C56" s="96">
        <f>COUNT(Tabela!H54,Tabela!F56,Tabela!F57)</f>
        <v>0</v>
      </c>
      <c r="D56" s="96">
        <f>SUM(IF(Tabela!$H$54&gt;Tabela!$F$54,COUNT(Tabela!$H$54)),IF(Tabela!$F$56&gt;Tabela!$H$56,COUNT(Tabela!$F$56)),IF(Tabela!$F$57&gt;Tabela!$H$57,COUNT(Tabela!$F$57)))</f>
        <v>0</v>
      </c>
      <c r="E56" s="96">
        <f>SUM(IF(Tabela!$H$54=Tabela!$F$54,COUNT(Tabela!$H$54)),IF(Tabela!$F$56=Tabela!$H$56,COUNT(Tabela!$F$56)),IF(Tabela!$F$57=Tabela!$H$57,COUNT(Tabela!$F$57)))</f>
        <v>0</v>
      </c>
      <c r="F56" s="96">
        <f>SUM(IF(Tabela!$H$54&lt;Tabela!$F$54,COUNT(Tabela!$H$54)),IF(Tabela!$F$56&lt;Tabela!$H$56,COUNT(Tabela!$F$56)),IF(Tabela!$F$57&lt;Tabela!$H$57,COUNT(Tabela!$F$57)))</f>
        <v>0</v>
      </c>
      <c r="G56" s="96">
        <f>SUM(Tabela!H54+Tabela!F56+Tabela!F57)</f>
        <v>0</v>
      </c>
      <c r="H56" s="96">
        <f>SUM(Tabela!F54+Tabela!H56+Tabela!H57)</f>
        <v>0</v>
      </c>
      <c r="I56" s="96">
        <f>SUM(G56-H56)</f>
        <v>0</v>
      </c>
      <c r="J56" s="95"/>
      <c r="K56" s="93" t="str">
        <f>IF(B56&lt;=B55,A56,A55)</f>
        <v>Estados Unidos</v>
      </c>
      <c r="L56" s="93">
        <f>VLOOKUP(K56,$A$53:$I$56,2,FALSE)</f>
        <v>0</v>
      </c>
      <c r="M56" s="93"/>
      <c r="N56" s="93" t="str">
        <f>IF(L56&lt;=L54,K56,K54)</f>
        <v>Estados Unidos</v>
      </c>
      <c r="O56" s="93">
        <f>VLOOKUP(N56,$A$53:$I$56,2,FALSE)</f>
        <v>0</v>
      </c>
      <c r="P56" s="93"/>
      <c r="Q56" s="93" t="str">
        <f>IF(O56&lt;=O53,N56,N53)</f>
        <v>Estados Unidos</v>
      </c>
      <c r="R56" s="93">
        <f>VLOOKUP(Q56,$A$53:$I$56,2,FALSE)</f>
        <v>0</v>
      </c>
      <c r="S56" s="93">
        <f>VLOOKUP(Q56,$A$53:$I$56,9,FALSE)</f>
        <v>0</v>
      </c>
      <c r="T56" s="93"/>
      <c r="U56" s="93" t="str">
        <f>IF(AND(R55=R56,S56&gt;S55),Q55,Q56)</f>
        <v>Estados Unidos</v>
      </c>
      <c r="V56" s="93">
        <f>VLOOKUP(U56,$A$53:$I$56,2,FALSE)</f>
        <v>0</v>
      </c>
      <c r="W56" s="93">
        <f>VLOOKUP(U56,$A$53:$I$56,9,FALSE)</f>
        <v>0</v>
      </c>
      <c r="X56" s="93" t="str">
        <f>IF(AND(V54=V56,W56&gt;W54),U54,U56)</f>
        <v>Estados Unidos</v>
      </c>
      <c r="Y56" s="93">
        <f>VLOOKUP(X56,$A$53:$I$56,2,FALSE)</f>
        <v>0</v>
      </c>
      <c r="Z56" s="93">
        <f>VLOOKUP(X56,$A$53:$I$56,9,FALSE)</f>
        <v>0</v>
      </c>
      <c r="AA56" s="93"/>
      <c r="AB56" s="93" t="str">
        <f>IF(AND(Y56=Y53,Z56&gt;Z53),X53,X56)</f>
        <v>Estados Unidos</v>
      </c>
      <c r="AC56" s="93">
        <f>VLOOKUP(AB56,$A$53:$I$56,2,FALSE)</f>
        <v>0</v>
      </c>
      <c r="AD56" s="93">
        <f>VLOOKUP(AB56,$A$53:$I$56,9,FALSE)</f>
        <v>0</v>
      </c>
      <c r="AE56" s="93">
        <f>VLOOKUP(AB56,$A$53:$I$56,7,FALSE)</f>
        <v>0</v>
      </c>
      <c r="AF56" s="93" t="str">
        <f>IF(AND(AC56=AC55,AD56=AD55,AE56&gt;AE55),X55,X56)</f>
        <v>Estados Unidos</v>
      </c>
      <c r="AG56" s="93">
        <f>VLOOKUP(AF56,$A$53:$I$56,2,FALSE)</f>
        <v>0</v>
      </c>
      <c r="AH56" s="93">
        <f>VLOOKUP(AF56,$A$53:$I$56,9,FALSE)</f>
        <v>0</v>
      </c>
      <c r="AI56" s="93">
        <f>VLOOKUP(AF56,$A$53:$I$56,7,FALSE)</f>
        <v>0</v>
      </c>
      <c r="AJ56" s="93" t="str">
        <f>IF(AND(AG54=AG56,AH54=AH56,AI56&gt;AI54),AF54,AF56)</f>
        <v>Estados Unidos</v>
      </c>
      <c r="AK56" s="93">
        <f>VLOOKUP(AJ56,$A$53:$I$56,2,FALSE)</f>
        <v>0</v>
      </c>
      <c r="AL56" s="93">
        <f>VLOOKUP(AJ56,$A$53:$I$56,9,FALSE)</f>
        <v>0</v>
      </c>
      <c r="AM56" s="93">
        <f>VLOOKUP(AJ56,$A$53:$I$56,7,FALSE)</f>
        <v>0</v>
      </c>
      <c r="AN56" s="93" t="str">
        <f>IF(AND(AK56=AK53,AL56=AL53,AM56&gt;AM53),AJ53,AJ56)</f>
        <v>Estados Unidos</v>
      </c>
      <c r="AO56" s="93">
        <f>VLOOKUP(AN56,$A$53:$I$56,2,FALSE)</f>
        <v>0</v>
      </c>
      <c r="AP56" s="93">
        <f>VLOOKUP(AN56,$A$53:$I$56,9,FALSE)</f>
        <v>0</v>
      </c>
      <c r="AQ56" s="93">
        <f>VLOOKUP(AN56,$A$53:$I$56,7,FALSE)</f>
        <v>0</v>
      </c>
      <c r="AR56" s="93"/>
    </row>
    <row r="57" spans="1:44" ht="12.75">
      <c r="A57" s="26"/>
      <c r="B57" s="6"/>
      <c r="C57" s="6"/>
      <c r="D57" s="6"/>
      <c r="E57" s="6"/>
      <c r="F57" s="6"/>
      <c r="G57" s="6"/>
      <c r="H57" s="6"/>
      <c r="I57" s="6"/>
      <c r="J57" s="6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</row>
    <row r="58" spans="1:44" ht="12.75">
      <c r="A58" s="26"/>
      <c r="B58" s="6"/>
      <c r="C58" s="6"/>
      <c r="D58" s="6"/>
      <c r="E58" s="6"/>
      <c r="F58" s="6"/>
      <c r="G58" s="6"/>
      <c r="H58" s="6"/>
      <c r="I58" s="6"/>
      <c r="J58" s="6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</row>
    <row r="59" spans="1:44" ht="12.75">
      <c r="A59" s="26"/>
      <c r="B59" s="161" t="s">
        <v>41</v>
      </c>
      <c r="C59" s="161"/>
      <c r="D59" s="161"/>
      <c r="E59" s="161"/>
      <c r="F59" s="161"/>
      <c r="G59" s="161"/>
      <c r="H59" s="161"/>
      <c r="I59" s="161"/>
      <c r="J59" s="6"/>
      <c r="K59" s="93" t="s">
        <v>16</v>
      </c>
      <c r="L59" s="93"/>
      <c r="M59" s="93"/>
      <c r="N59" s="93" t="s">
        <v>18</v>
      </c>
      <c r="O59" s="93"/>
      <c r="P59" s="93"/>
      <c r="Q59" s="93" t="s">
        <v>17</v>
      </c>
      <c r="R59" s="93"/>
      <c r="S59" s="93"/>
      <c r="T59" s="93"/>
      <c r="U59" s="93" t="s">
        <v>17</v>
      </c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</row>
    <row r="60" spans="1:44" ht="12.75">
      <c r="A60" s="58" t="s">
        <v>15</v>
      </c>
      <c r="B60" s="95" t="s">
        <v>14</v>
      </c>
      <c r="C60" s="96" t="s">
        <v>1</v>
      </c>
      <c r="D60" s="96" t="s">
        <v>2</v>
      </c>
      <c r="E60" s="96" t="s">
        <v>4</v>
      </c>
      <c r="F60" s="96" t="s">
        <v>3</v>
      </c>
      <c r="G60" s="96" t="s">
        <v>5</v>
      </c>
      <c r="H60" s="96" t="s">
        <v>6</v>
      </c>
      <c r="I60" s="96" t="s">
        <v>7</v>
      </c>
      <c r="J60" s="97"/>
      <c r="K60" s="93"/>
      <c r="L60" s="93" t="s">
        <v>14</v>
      </c>
      <c r="M60" s="93"/>
      <c r="N60" s="93"/>
      <c r="O60" s="93" t="s">
        <v>19</v>
      </c>
      <c r="P60" s="93"/>
      <c r="Q60" s="93"/>
      <c r="R60" s="93" t="s">
        <v>14</v>
      </c>
      <c r="S60" s="93" t="s">
        <v>7</v>
      </c>
      <c r="T60" s="93"/>
      <c r="U60" s="93"/>
      <c r="V60" s="93" t="s">
        <v>14</v>
      </c>
      <c r="W60" s="93" t="s">
        <v>7</v>
      </c>
      <c r="X60" s="93"/>
      <c r="Y60" s="93" t="s">
        <v>14</v>
      </c>
      <c r="Z60" s="93" t="s">
        <v>7</v>
      </c>
      <c r="AA60" s="93"/>
      <c r="AB60" s="93"/>
      <c r="AC60" s="93" t="s">
        <v>14</v>
      </c>
      <c r="AD60" s="93" t="s">
        <v>7</v>
      </c>
      <c r="AE60" s="93" t="s">
        <v>5</v>
      </c>
      <c r="AF60" s="93"/>
      <c r="AG60" s="93" t="s">
        <v>14</v>
      </c>
      <c r="AH60" s="93" t="s">
        <v>7</v>
      </c>
      <c r="AI60" s="93" t="s">
        <v>5</v>
      </c>
      <c r="AJ60" s="93"/>
      <c r="AK60" s="93" t="s">
        <v>14</v>
      </c>
      <c r="AL60" s="93" t="s">
        <v>7</v>
      </c>
      <c r="AM60" s="93" t="s">
        <v>5</v>
      </c>
      <c r="AN60" s="93"/>
      <c r="AO60" s="93" t="s">
        <v>14</v>
      </c>
      <c r="AP60" s="93" t="s">
        <v>7</v>
      </c>
      <c r="AQ60" s="93" t="s">
        <v>5</v>
      </c>
      <c r="AR60" s="93"/>
    </row>
    <row r="61" spans="1:44" ht="12.75">
      <c r="A61" s="26" t="s">
        <v>86</v>
      </c>
      <c r="B61" s="95">
        <f>SUM(D61*3)+E61</f>
        <v>0</v>
      </c>
      <c r="C61" s="96">
        <f>COUNT(Tabela!F61,Tabela!F63,Tabela!H65)</f>
        <v>0</v>
      </c>
      <c r="D61" s="96">
        <f>SUM(IF(Tabela!$F$61&gt;Tabela!$H$61,COUNT(Tabela!$F$61)),IF(Tabela!$F$63&gt;Tabela!$H$63,COUNT(Tabela!$F$63)),IF(Tabela!$H$65&gt;Tabela!$F$65,COUNT(Tabela!$H$65)))</f>
        <v>0</v>
      </c>
      <c r="E61" s="96">
        <f>SUM(IF(Tabela!$F$61=Tabela!$H$61,COUNT(Tabela!$F$61)),IF(Tabela!$F$63=Tabela!$H$63,COUNT(Tabela!$F$63)),IF(Tabela!$H$65=Tabela!$F$65,COUNT(Tabela!$H$65)))</f>
        <v>0</v>
      </c>
      <c r="F61" s="96">
        <f>SUM(IF(Tabela!$F$61&lt;Tabela!$H$61,COUNT(Tabela!$F$61)),IF(Tabela!$F$63&lt;Tabela!$H$63,COUNT(Tabela!$F$63)),IF(Tabela!$H$65&lt;Tabela!$F$65,COUNT(Tabela!$H$65)))</f>
        <v>0</v>
      </c>
      <c r="G61" s="96">
        <f>SUM(Tabela!F61+Tabela!F63+Tabela!H65)</f>
        <v>0</v>
      </c>
      <c r="H61" s="96">
        <f>SUM(Tabela!H61+Tabela!H63+Tabela!F65)</f>
        <v>0</v>
      </c>
      <c r="I61" s="96">
        <f>SUM(G61-H61)</f>
        <v>0</v>
      </c>
      <c r="J61" s="95"/>
      <c r="K61" s="93" t="str">
        <f>IF(B61&gt;=B62,A61,A62)</f>
        <v>Belgica</v>
      </c>
      <c r="L61" s="93">
        <f>VLOOKUP(K61,$A$61:$I$64,2,FALSE)</f>
        <v>0</v>
      </c>
      <c r="M61" s="93"/>
      <c r="N61" s="93" t="str">
        <f>IF(L61&gt;=L63,K61,K63)</f>
        <v>Belgica</v>
      </c>
      <c r="O61" s="93">
        <f>VLOOKUP(N61,$A$61:$I$64,2,FALSE)</f>
        <v>0</v>
      </c>
      <c r="P61" s="93"/>
      <c r="Q61" s="93" t="str">
        <f>IF(O61&gt;=O64,N61,N64)</f>
        <v>Belgica</v>
      </c>
      <c r="R61" s="93">
        <f>VLOOKUP(Q61,$A$61:$I$64,2,FALSE)</f>
        <v>0</v>
      </c>
      <c r="S61" s="93">
        <f>VLOOKUP(Q61,$A$61:$I$64,9,FALSE)</f>
        <v>0</v>
      </c>
      <c r="T61" s="93"/>
      <c r="U61" s="93" t="str">
        <f>IF(AND(R61=R62,S62&gt;S61),Q62,Q61)</f>
        <v>Belgica</v>
      </c>
      <c r="V61" s="93">
        <f>VLOOKUP(U61,$A$61:$I$64,2,FALSE)</f>
        <v>0</v>
      </c>
      <c r="W61" s="93">
        <f>VLOOKUP(U61,$A$61:$I$64,9,FALSE)</f>
        <v>0</v>
      </c>
      <c r="X61" s="93" t="str">
        <f>IF(AND(V61=V63,W63&gt;W61),U63,U61)</f>
        <v>Belgica</v>
      </c>
      <c r="Y61" s="93">
        <f>VLOOKUP(X61,$A$61:$I$64,2,FALSE)</f>
        <v>0</v>
      </c>
      <c r="Z61" s="93">
        <f>VLOOKUP(X61,$A$61:$I$64,9,FALSE)</f>
        <v>0</v>
      </c>
      <c r="AA61" s="93"/>
      <c r="AB61" s="93" t="str">
        <f>IF(AND(Y61=Y64,Z64&gt;Z61),X64,X61)</f>
        <v>Belgica</v>
      </c>
      <c r="AC61" s="93">
        <f>VLOOKUP(AB61,$A$61:$I$64,2,FALSE)</f>
        <v>0</v>
      </c>
      <c r="AD61" s="93">
        <f>VLOOKUP(AB61,$A$61:$I$64,9,FALSE)</f>
        <v>0</v>
      </c>
      <c r="AE61" s="93">
        <f>VLOOKUP(AB61,$A$61:$I$64,7,FALSE)</f>
        <v>0</v>
      </c>
      <c r="AF61" s="93" t="str">
        <f>IF(AND(AC61=AC62,AD61=AD62,AE62&gt;AE61),AB62,AB61)</f>
        <v>Belgica</v>
      </c>
      <c r="AG61" s="93">
        <f>VLOOKUP(AF61,$A$61:$I$64,2,FALSE)</f>
        <v>0</v>
      </c>
      <c r="AH61" s="93">
        <f>VLOOKUP(AF61,$A$61:$I$64,9,FALSE)</f>
        <v>0</v>
      </c>
      <c r="AI61" s="93">
        <f>VLOOKUP(AF61,$A$61:$I$64,7,FALSE)</f>
        <v>0</v>
      </c>
      <c r="AJ61" s="93" t="str">
        <f>IF(AND(AG61=AG63,AH61=AH63,AI63&gt;AI61),AF63,AF61)</f>
        <v>Belgica</v>
      </c>
      <c r="AK61" s="93">
        <f>VLOOKUP(AJ61,$A$61:$I$64,2,FALSE)</f>
        <v>0</v>
      </c>
      <c r="AL61" s="93">
        <f>VLOOKUP(AJ61,$A$61:$I$64,9,FALSE)</f>
        <v>0</v>
      </c>
      <c r="AM61" s="93">
        <f>VLOOKUP(AJ61,$A$61:$I$64,7,FALSE)</f>
        <v>0</v>
      </c>
      <c r="AN61" s="93" t="str">
        <f>IF(AND(AK61=AK64,AL61=AL64,AM64&gt;AM61),AJ64,AJ61)</f>
        <v>Belgica</v>
      </c>
      <c r="AO61" s="93">
        <f>VLOOKUP(AN61,$A$61:$I$64,2,FALSE)</f>
        <v>0</v>
      </c>
      <c r="AP61" s="93">
        <f>VLOOKUP(AN61,$A$61:$I$64,9,FALSE)</f>
        <v>0</v>
      </c>
      <c r="AQ61" s="93">
        <f>VLOOKUP(AN61,$A$61:$I$64,7,FALSE)</f>
        <v>0</v>
      </c>
      <c r="AR61" s="93"/>
    </row>
    <row r="62" spans="1:44" ht="12.75">
      <c r="A62" s="26" t="s">
        <v>93</v>
      </c>
      <c r="B62" s="95">
        <f>SUM(D62*3)+E62</f>
        <v>0</v>
      </c>
      <c r="C62" s="96">
        <f>COUNT(Tabela!H61,Tabela!H64,Tabela!F66)</f>
        <v>0</v>
      </c>
      <c r="D62" s="96">
        <f>SUM(IF(Tabela!$H$61&gt;Tabela!$F$61,COUNT(Tabela!$H$61)),IF(Tabela!$H$64&gt;Tabela!$F$64,COUNT(Tabela!$H$64)),IF(Tabela!$F$66&gt;Tabela!$H$66,COUNT(Tabela!$F$66)))</f>
        <v>0</v>
      </c>
      <c r="E62" s="96">
        <f>SUM(IF(Tabela!$H$61=Tabela!$F$61,COUNT(Tabela!$H$61)),IF(Tabela!$H$64=Tabela!$F$64,COUNT(Tabela!$H$64)),IF(Tabela!$F$66=Tabela!$H$66,COUNT(Tabela!$F$66)))</f>
        <v>0</v>
      </c>
      <c r="F62" s="96">
        <f>SUM(IF(Tabela!$H$61&lt;Tabela!$F$61,COUNT(Tabela!$H$61)),IF(Tabela!$H$64&lt;Tabela!$F$64,COUNT(Tabela!$H$64)),IF(Tabela!$F$66&lt;Tabela!$H$66,COUNT(Tabela!$F$66)))</f>
        <v>0</v>
      </c>
      <c r="G62" s="96">
        <f>SUM(Tabela!H61+Tabela!H64+Tabela!F66)</f>
        <v>0</v>
      </c>
      <c r="H62" s="96">
        <f>SUM(Tabela!F61+Tabela!F64+Tabela!H66)</f>
        <v>0</v>
      </c>
      <c r="I62" s="96">
        <f>SUM(G62-H62)</f>
        <v>0</v>
      </c>
      <c r="J62" s="95"/>
      <c r="K62" s="93" t="str">
        <f>IF(B62&lt;=B61,A62,A61)</f>
        <v>Argélia</v>
      </c>
      <c r="L62" s="93">
        <f>VLOOKUP(K62,$A$61:$I$64,2,FALSE)</f>
        <v>0</v>
      </c>
      <c r="M62" s="93"/>
      <c r="N62" s="93" t="str">
        <f>IF(L62&gt;=L64,K62,K64)</f>
        <v>Argélia</v>
      </c>
      <c r="O62" s="93">
        <f>VLOOKUP(N62,$A$61:$I$64,2,FALSE)</f>
        <v>0</v>
      </c>
      <c r="P62" s="93"/>
      <c r="Q62" s="93" t="str">
        <f>IF(O62&gt;=O63,N62,N63)</f>
        <v>Argélia</v>
      </c>
      <c r="R62" s="93">
        <f>VLOOKUP(Q62,$A$61:$I$64,2,FALSE)</f>
        <v>0</v>
      </c>
      <c r="S62" s="93">
        <f>VLOOKUP(Q62,$A$61:$I$64,9,FALSE)</f>
        <v>0</v>
      </c>
      <c r="T62" s="93"/>
      <c r="U62" s="93" t="str">
        <f>IF(AND(R61=R62,S62&gt;S61),Q61,Q62)</f>
        <v>Argélia</v>
      </c>
      <c r="V62" s="93">
        <f>VLOOKUP(U62,$A$61:$I$64,2,FALSE)</f>
        <v>0</v>
      </c>
      <c r="W62" s="93">
        <f>VLOOKUP(U62,$A$61:$I$64,9,FALSE)</f>
        <v>0</v>
      </c>
      <c r="X62" s="93" t="str">
        <f>IF(AND(V62=V64,W64&gt;W62),U64,U62)</f>
        <v>Argélia</v>
      </c>
      <c r="Y62" s="93">
        <f>VLOOKUP(X62,$A$61:$I$64,2,FALSE)</f>
        <v>0</v>
      </c>
      <c r="Z62" s="93">
        <f>VLOOKUP(X62,$A$61:$I$64,9,FALSE)</f>
        <v>0</v>
      </c>
      <c r="AA62" s="93"/>
      <c r="AB62" s="93" t="str">
        <f>IF(AND(Y62=Y63,Z63&gt;Z62),X63,X62)</f>
        <v>Argélia</v>
      </c>
      <c r="AC62" s="93">
        <f>VLOOKUP(AB62,$A$61:$I$64,2,FALSE)</f>
        <v>0</v>
      </c>
      <c r="AD62" s="93">
        <f>VLOOKUP(AB62,$A$61:$I$64,9,FALSE)</f>
        <v>0</v>
      </c>
      <c r="AE62" s="93">
        <f>VLOOKUP(AB62,$A$61:$I$64,7,FALSE)</f>
        <v>0</v>
      </c>
      <c r="AF62" s="93" t="str">
        <f>IF(AND(AC62=AC61,AD62=AD61,AE62&gt;AE61),AB61,AB62)</f>
        <v>Argélia</v>
      </c>
      <c r="AG62" s="93">
        <f>VLOOKUP(AF62,$A$61:$I$64,2,FALSE)</f>
        <v>0</v>
      </c>
      <c r="AH62" s="93">
        <f>VLOOKUP(AF62,$A$61:$I$64,9,FALSE)</f>
        <v>0</v>
      </c>
      <c r="AI62" s="93">
        <f>VLOOKUP(AF62,$A$61:$I$64,7,FALSE)</f>
        <v>0</v>
      </c>
      <c r="AJ62" s="93" t="str">
        <f>IF(AND(AG62=AG64,AH62=AH64,AI64&gt;AI62),AF64,AF62)</f>
        <v>Argélia</v>
      </c>
      <c r="AK62" s="93">
        <f>VLOOKUP(AJ62,$A$61:$I$64,2,FALSE)</f>
        <v>0</v>
      </c>
      <c r="AL62" s="93">
        <f>VLOOKUP(AJ62,$A$61:$I$64,9,FALSE)</f>
        <v>0</v>
      </c>
      <c r="AM62" s="93">
        <f>VLOOKUP(AJ62,$A$61:$I$64,7,FALSE)</f>
        <v>0</v>
      </c>
      <c r="AN62" s="93" t="str">
        <f>IF(AND(AK62=AK63,AL62=AL63,AM63&gt;AM62),AJ63,AJ62)</f>
        <v>Argélia</v>
      </c>
      <c r="AO62" s="93">
        <f>VLOOKUP(AN62,$A$61:$I$64,2,FALSE)</f>
        <v>0</v>
      </c>
      <c r="AP62" s="93">
        <f>VLOOKUP(AN62,$A$61:$I$64,9,FALSE)</f>
        <v>0</v>
      </c>
      <c r="AQ62" s="93">
        <f>VLOOKUP(AN62,$A$61:$I$64,7,FALSE)</f>
        <v>0</v>
      </c>
      <c r="AR62" s="93"/>
    </row>
    <row r="63" spans="1:44" ht="12.75">
      <c r="A63" s="26" t="s">
        <v>110</v>
      </c>
      <c r="B63" s="95">
        <f>SUM(D63*3)+E63</f>
        <v>0</v>
      </c>
      <c r="C63" s="96">
        <f>COUNT(Tabela!F62,Tabela!H63,Tabela!H66)</f>
        <v>0</v>
      </c>
      <c r="D63" s="96">
        <f>SUM(IF(Tabela!$F$62&gt;Tabela!$H$62,COUNT(Tabela!$F$62)),IF(Tabela!$H$63&gt;Tabela!$F$63,COUNT(Tabela!$H$63)),IF(Tabela!$H$66&gt;Tabela!$F$66,COUNT(Tabela!$H$66)))</f>
        <v>0</v>
      </c>
      <c r="E63" s="96">
        <f>SUM(IF(Tabela!$F$62=Tabela!$H$62,COUNT(Tabela!$F$62)),IF(Tabela!$H$63=Tabela!$F$63,COUNT(Tabela!$H$63)),IF(Tabela!$H$66=Tabela!$F$66,COUNT(Tabela!$H$66)))</f>
        <v>0</v>
      </c>
      <c r="F63" s="96">
        <f>SUM(IF(Tabela!$F$62&lt;Tabela!$H$62,COUNT(Tabela!$F$62)),IF(Tabela!$H$63&lt;Tabela!$F$63,COUNT(Tabela!$H$63)),IF(Tabela!$H$66&lt;Tabela!$F$66,COUNT(Tabela!$H$66)))</f>
        <v>0</v>
      </c>
      <c r="G63" s="96">
        <f>SUM(Tabela!F62+Tabela!H63+Tabela!H66)</f>
        <v>0</v>
      </c>
      <c r="H63" s="96">
        <f>SUM(Tabela!H62+Tabela!F63+Tabela!F66)</f>
        <v>0</v>
      </c>
      <c r="I63" s="96">
        <f>SUM(G63-H63)</f>
        <v>0</v>
      </c>
      <c r="J63" s="95"/>
      <c r="K63" s="93" t="str">
        <f>IF(B63&gt;=B64,A63,A64)</f>
        <v>Russia</v>
      </c>
      <c r="L63" s="93">
        <f>VLOOKUP(K63,$A$61:$I$64,2,FALSE)</f>
        <v>0</v>
      </c>
      <c r="M63" s="93"/>
      <c r="N63" s="93" t="str">
        <f>IF(L63&lt;=L61,K63,K61)</f>
        <v>Russia</v>
      </c>
      <c r="O63" s="93">
        <f>VLOOKUP(N63,$A$61:$I$64,2,FALSE)</f>
        <v>0</v>
      </c>
      <c r="P63" s="93"/>
      <c r="Q63" s="93" t="str">
        <f>IF(O63&lt;=O62,N63,N62)</f>
        <v>Russia</v>
      </c>
      <c r="R63" s="93">
        <f>VLOOKUP(Q63,$A$61:$I$64,2,FALSE)</f>
        <v>0</v>
      </c>
      <c r="S63" s="93">
        <f>VLOOKUP(Q63,$A$61:$I$64,9,FALSE)</f>
        <v>0</v>
      </c>
      <c r="T63" s="93"/>
      <c r="U63" s="93" t="str">
        <f>IF(AND(R63=R64,S64&gt;S63),Q64,Q63)</f>
        <v>Russia</v>
      </c>
      <c r="V63" s="93">
        <f>VLOOKUP(U63,$A$61:$I$64,2,FALSE)</f>
        <v>0</v>
      </c>
      <c r="W63" s="93">
        <f>VLOOKUP(U63,$A$61:$I$64,9,FALSE)</f>
        <v>0</v>
      </c>
      <c r="X63" s="93" t="str">
        <f>IF(AND(V61=V63,W63&gt;W61),U61,U63)</f>
        <v>Russia</v>
      </c>
      <c r="Y63" s="93">
        <f>VLOOKUP(X63,$A$61:$I$64,2,FALSE)</f>
        <v>0</v>
      </c>
      <c r="Z63" s="93">
        <f>VLOOKUP(X63,$A$61:$I$64,9,FALSE)</f>
        <v>0</v>
      </c>
      <c r="AA63" s="93"/>
      <c r="AB63" s="93" t="str">
        <f>IF(AND(Y63=Y62,Z63&gt;Z62),X62,X63)</f>
        <v>Russia</v>
      </c>
      <c r="AC63" s="93">
        <f>VLOOKUP(AB63,$A$61:$I$64,2,FALSE)</f>
        <v>0</v>
      </c>
      <c r="AD63" s="93">
        <f>VLOOKUP(AB63,$A$61:$I$64,9,FALSE)</f>
        <v>0</v>
      </c>
      <c r="AE63" s="93">
        <f>VLOOKUP(AB63,$A$61:$I$64,7,FALSE)</f>
        <v>0</v>
      </c>
      <c r="AF63" s="93" t="str">
        <f>IF(AND(AC63=AC64,AD63=AD64,AE64&gt;AE63),AB64,AB63)</f>
        <v>Russia</v>
      </c>
      <c r="AG63" s="93">
        <f>VLOOKUP(AF63,$A$61:$I$64,2,FALSE)</f>
        <v>0</v>
      </c>
      <c r="AH63" s="93">
        <f>VLOOKUP(AF63,$A$61:$I$64,9,FALSE)</f>
        <v>0</v>
      </c>
      <c r="AI63" s="93">
        <f>VLOOKUP(AF63,$A$61:$I$64,7,FALSE)</f>
        <v>0</v>
      </c>
      <c r="AJ63" s="93" t="str">
        <f>IF(AND(AG63=AG61,AH63=AH61,AI63&gt;AI61),AF61,AF63)</f>
        <v>Russia</v>
      </c>
      <c r="AK63" s="93">
        <f>VLOOKUP(AJ63,$A$61:$I$64,2,FALSE)</f>
        <v>0</v>
      </c>
      <c r="AL63" s="93">
        <f>VLOOKUP(AJ63,$A$61:$I$64,9,FALSE)</f>
        <v>0</v>
      </c>
      <c r="AM63" s="93">
        <f>VLOOKUP(AJ63,$A$61:$I$64,7,FALSE)</f>
        <v>0</v>
      </c>
      <c r="AN63" s="93" t="str">
        <f>IF(AND(AK63=AK62,AL63=AL62,AM63&gt;AM62),AJ62,AJ63)</f>
        <v>Russia</v>
      </c>
      <c r="AO63" s="93">
        <f>VLOOKUP(AN63,$A$61:$I$64,2,FALSE)</f>
        <v>0</v>
      </c>
      <c r="AP63" s="93">
        <f>VLOOKUP(AN63,$A$61:$I$64,9,FALSE)</f>
        <v>0</v>
      </c>
      <c r="AQ63" s="93">
        <f>VLOOKUP(AN63,$A$61:$I$64,7,FALSE)</f>
        <v>0</v>
      </c>
      <c r="AR63" s="93"/>
    </row>
    <row r="64" spans="1:44" ht="12.75">
      <c r="A64" s="26" t="s">
        <v>102</v>
      </c>
      <c r="B64" s="95">
        <f>SUM(D64*3)+E64</f>
        <v>0</v>
      </c>
      <c r="C64" s="96">
        <f>COUNT(Tabela!H62,Tabela!F64,Tabela!F65)</f>
        <v>0</v>
      </c>
      <c r="D64" s="96">
        <f>SUM(IF(Tabela!$H$62&gt;Tabela!$F$62,COUNT(Tabela!$H$62)),IF(Tabela!$F$64&gt;Tabela!$H$64,COUNT(Tabela!$F$64)),IF(Tabela!$F$65&gt;Tabela!$H$65,COUNT(Tabela!$F$65)))</f>
        <v>0</v>
      </c>
      <c r="E64" s="96">
        <f>SUM(IF(Tabela!$H$62=Tabela!$F$62,COUNT(Tabela!$H$62)),IF(Tabela!$F$64=Tabela!$H$64,COUNT(Tabela!$F$64)),IF(Tabela!$F$65=Tabela!$H$65,COUNT(Tabela!$F$65)))</f>
        <v>0</v>
      </c>
      <c r="F64" s="96">
        <f>SUM(IF(Tabela!$H$62&lt;Tabela!$F$62,COUNT(Tabela!$H$62)),IF(Tabela!$F$64&lt;Tabela!$H$64,COUNT(Tabela!$F$64)),IF(Tabela!$F$65&lt;Tabela!$H$65,COUNT(Tabela!$F$65)))</f>
        <v>0</v>
      </c>
      <c r="G64" s="96">
        <f>SUM(Tabela!H62+Tabela!F64+Tabela!F65)</f>
        <v>0</v>
      </c>
      <c r="H64" s="96">
        <f>SUM(Tabela!F62+Tabela!H64+Tabela!H65)</f>
        <v>0</v>
      </c>
      <c r="I64" s="96">
        <f>SUM(G64-H64)</f>
        <v>0</v>
      </c>
      <c r="J64" s="95"/>
      <c r="K64" s="93" t="str">
        <f>IF(B64&lt;=B63,A64,A63)</f>
        <v>Coreia do Sul</v>
      </c>
      <c r="L64" s="93">
        <f>VLOOKUP(K64,$A$61:$I$64,2,FALSE)</f>
        <v>0</v>
      </c>
      <c r="M64" s="93"/>
      <c r="N64" s="93" t="str">
        <f>IF(L64&lt;=L62,K64,K62)</f>
        <v>Coreia do Sul</v>
      </c>
      <c r="O64" s="93">
        <f>VLOOKUP(N64,$A$61:$I$64,2,FALSE)</f>
        <v>0</v>
      </c>
      <c r="P64" s="93"/>
      <c r="Q64" s="93" t="str">
        <f>IF(O64&lt;=O61,N64,N61)</f>
        <v>Coreia do Sul</v>
      </c>
      <c r="R64" s="93">
        <f>VLOOKUP(Q64,$A$61:$I$64,2,FALSE)</f>
        <v>0</v>
      </c>
      <c r="S64" s="93">
        <f>VLOOKUP(Q64,$A$61:$I$64,9,FALSE)</f>
        <v>0</v>
      </c>
      <c r="T64" s="93"/>
      <c r="U64" s="93" t="str">
        <f>IF(AND(R63=R64,S64&gt;S63),Q63,Q64)</f>
        <v>Coreia do Sul</v>
      </c>
      <c r="V64" s="93">
        <f>VLOOKUP(U64,$A$61:$I$64,2,FALSE)</f>
        <v>0</v>
      </c>
      <c r="W64" s="93">
        <f>VLOOKUP(U64,$A$61:$I$64,9,FALSE)</f>
        <v>0</v>
      </c>
      <c r="X64" s="93" t="str">
        <f>IF(AND(V62=V64,W64&gt;W62),U62,U64)</f>
        <v>Coreia do Sul</v>
      </c>
      <c r="Y64" s="93">
        <f>VLOOKUP(X64,$A$61:$I$64,2,FALSE)</f>
        <v>0</v>
      </c>
      <c r="Z64" s="93">
        <f>VLOOKUP(X64,$A$61:$I$64,9,FALSE)</f>
        <v>0</v>
      </c>
      <c r="AA64" s="93"/>
      <c r="AB64" s="93" t="str">
        <f>IF(AND(Y64=Y61,Z64&gt;Z61),X61,X64)</f>
        <v>Coreia do Sul</v>
      </c>
      <c r="AC64" s="93">
        <f>VLOOKUP(AB64,$A$61:$I$64,2,FALSE)</f>
        <v>0</v>
      </c>
      <c r="AD64" s="93">
        <f>VLOOKUP(AB64,$A$61:$I$64,9,FALSE)</f>
        <v>0</v>
      </c>
      <c r="AE64" s="93">
        <f>VLOOKUP(AB64,$A$61:$I$64,7,FALSE)</f>
        <v>0</v>
      </c>
      <c r="AF64" s="93" t="str">
        <f>IF(AND(AC64=AC63,AD64=AD63,AE64&gt;AE63),X63,X64)</f>
        <v>Coreia do Sul</v>
      </c>
      <c r="AG64" s="93">
        <f>VLOOKUP(AF64,$A$61:$I$64,2,FALSE)</f>
        <v>0</v>
      </c>
      <c r="AH64" s="93">
        <f>VLOOKUP(AF64,$A$61:$I$64,9,FALSE)</f>
        <v>0</v>
      </c>
      <c r="AI64" s="93">
        <f>VLOOKUP(AF64,$A$61:$I$64,7,FALSE)</f>
        <v>0</v>
      </c>
      <c r="AJ64" s="93" t="str">
        <f>IF(AND(AG62=AG64,AH62=AH64,AI64&gt;AI62),AF62,AF64)</f>
        <v>Coreia do Sul</v>
      </c>
      <c r="AK64" s="93">
        <f>VLOOKUP(AJ64,$A$61:$I$64,2,FALSE)</f>
        <v>0</v>
      </c>
      <c r="AL64" s="93">
        <f>VLOOKUP(AJ64,$A$61:$I$64,9,FALSE)</f>
        <v>0</v>
      </c>
      <c r="AM64" s="93">
        <f>VLOOKUP(AJ64,$A$61:$I$64,7,FALSE)</f>
        <v>0</v>
      </c>
      <c r="AN64" s="93" t="str">
        <f>IF(AND(AK64=AK61,AL64=AL61,AM64&gt;AM61),AJ61,AJ64)</f>
        <v>Coreia do Sul</v>
      </c>
      <c r="AO64" s="93">
        <f>VLOOKUP(AN64,$A$61:$I$64,2,FALSE)</f>
        <v>0</v>
      </c>
      <c r="AP64" s="93">
        <f>VLOOKUP(AN64,$A$61:$I$64,9,FALSE)</f>
        <v>0</v>
      </c>
      <c r="AQ64" s="93">
        <f>VLOOKUP(AN64,$A$61:$I$64,7,FALSE)</f>
        <v>0</v>
      </c>
      <c r="AR64" s="93"/>
    </row>
    <row r="65" spans="1:44" ht="12.75">
      <c r="A65" s="26"/>
      <c r="B65" s="6"/>
      <c r="C65" s="6"/>
      <c r="D65" s="6"/>
      <c r="E65" s="6"/>
      <c r="F65" s="6"/>
      <c r="G65" s="6"/>
      <c r="H65" s="6"/>
      <c r="I65" s="6"/>
      <c r="J65" s="6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</row>
  </sheetData>
  <sheetProtection password="E450" sheet="1" formatCells="0" formatColumns="0" formatRows="0" insertColumns="0" insertRows="0" insertHyperlinks="0" deleteColumns="0" deleteRows="0" sort="0" autoFilter="0" pivotTables="0"/>
  <mergeCells count="8">
    <mergeCell ref="B3:I3"/>
    <mergeCell ref="B11:I11"/>
    <mergeCell ref="B51:I51"/>
    <mergeCell ref="B59:I59"/>
    <mergeCell ref="B19:I19"/>
    <mergeCell ref="B27:I27"/>
    <mergeCell ref="B35:I35"/>
    <mergeCell ref="B43:I4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  <HyperlinkBase>www.edivaldo.zip.to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Copa do mundo de 2010 - Africa do Sul</dc:title>
  <dc:subject/>
  <dc:creator>Johann Klaus</dc:creator>
  <cp:keywords>Copa do mundo</cp:keywords>
  <dc:description>Poder ser distribuida gratuitamente, sem limite.
Johann Klaus  07/12/2009</dc:description>
  <cp:lastModifiedBy>MANUEL DE OLIVEIRA FERNANDES</cp:lastModifiedBy>
  <cp:lastPrinted>2012-10-05T19:06:00Z</cp:lastPrinted>
  <dcterms:created xsi:type="dcterms:W3CDTF">2001-12-05T11:10:54Z</dcterms:created>
  <dcterms:modified xsi:type="dcterms:W3CDTF">2014-04-08T17:25:30Z</dcterms:modified>
  <cp:category>Livre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